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ference\book-datasmart\ch04\"/>
    </mc:Choice>
  </mc:AlternateContent>
  <xr:revisionPtr revIDLastSave="0" documentId="13_ncr:1_{FACF49F8-7BE7-4F10-A7F9-22CD1040EE75}" xr6:coauthVersionLast="45" xr6:coauthVersionMax="45" xr10:uidLastSave="{00000000-0000-0000-0000-000000000000}"/>
  <bookViews>
    <workbookView xWindow="-120" yWindow="-120" windowWidth="29040" windowHeight="15840" activeTab="3" xr2:uid="{839E2370-0012-42DA-81D8-2EA67E61F8E6}"/>
  </bookViews>
  <sheets>
    <sheet name="Specs" sheetId="1" r:id="rId1"/>
    <sheet name="OptMdl" sheetId="2" r:id="rId2"/>
    <sheet name="RlxQlty" sheetId="3" r:id="rId3"/>
    <sheet name="Frontier" sheetId="4" r:id="rId4"/>
  </sheets>
  <definedNames>
    <definedName name="solver_adj" localSheetId="1" hidden="1">OptMdl!$C$6:$E$16</definedName>
    <definedName name="solver_adj" localSheetId="2" hidden="1">RlxQlty!$C$6:$E$16,RlxQlty!$G$27:$G$30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OptMdl!$C$20:$E$20</definedName>
    <definedName name="solver_lhs1" localSheetId="2" hidden="1">RlxQlty!$A$2</definedName>
    <definedName name="solver_lhs10" localSheetId="2" hidden="1">RlxQlty!$F$6:$F$16</definedName>
    <definedName name="solver_lhs2" localSheetId="1" hidden="1">OptMdl!$C$23:$E$23</definedName>
    <definedName name="solver_lhs2" localSheetId="2" hidden="1">RlxQlty!$C$20:$E$20</definedName>
    <definedName name="solver_lhs3" localSheetId="1" hidden="1">OptMdl!$C$27:$C$30</definedName>
    <definedName name="solver_lhs3" localSheetId="2" hidden="1">RlxQlty!$C$23:$E$23</definedName>
    <definedName name="solver_lhs4" localSheetId="1" hidden="1">OptMdl!$C$27:$C$30</definedName>
    <definedName name="solver_lhs4" localSheetId="2" hidden="1">RlxQlty!$C$27:$C$30</definedName>
    <definedName name="solver_lhs5" localSheetId="1" hidden="1">OptMdl!$D$27:$D$30</definedName>
    <definedName name="solver_lhs5" localSheetId="2" hidden="1">RlxQlty!$C$27:$C$30</definedName>
    <definedName name="solver_lhs6" localSheetId="1" hidden="1">OptMdl!$D$27:$D$30</definedName>
    <definedName name="solver_lhs6" localSheetId="2" hidden="1">RlxQlty!$D$27:$D$30</definedName>
    <definedName name="solver_lhs7" localSheetId="1" hidden="1">OptMdl!$E$27:$E$30</definedName>
    <definedName name="solver_lhs7" localSheetId="2" hidden="1">RlxQlty!$D$27:$D$30</definedName>
    <definedName name="solver_lhs8" localSheetId="1" hidden="1">OptMdl!$E$27:$E$30</definedName>
    <definedName name="solver_lhs8" localSheetId="2" hidden="1">RlxQlty!$E$27:$E$30</definedName>
    <definedName name="solver_lhs9" localSheetId="1" hidden="1">OptMdl!$F$6:$F$16</definedName>
    <definedName name="solver_lhs9" localSheetId="2" hidden="1">RlxQlty!$E$27:$E$30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9</definedName>
    <definedName name="solver_num" localSheetId="2" hidden="1">10</definedName>
    <definedName name="solver_nwt" localSheetId="1" hidden="1">1</definedName>
    <definedName name="solver_nwt" localSheetId="2" hidden="1">1</definedName>
    <definedName name="solver_opt" localSheetId="1" hidden="1">OptMdl!$A$2</definedName>
    <definedName name="solver_opt" localSheetId="2" hidden="1">RlxQlty!$D$2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2</definedName>
    <definedName name="solver_rel1" localSheetId="2" hidden="1">1</definedName>
    <definedName name="solver_rel10" localSheetId="2" hidden="1">1</definedName>
    <definedName name="solver_rel2" localSheetId="1" hidden="1">3</definedName>
    <definedName name="solver_rel2" localSheetId="2" hidden="1">2</definedName>
    <definedName name="solver_rel3" localSheetId="1" hidden="1">1</definedName>
    <definedName name="solver_rel3" localSheetId="2" hidden="1">3</definedName>
    <definedName name="solver_rel4" localSheetId="1" hidden="1">3</definedName>
    <definedName name="solver_rel4" localSheetId="2" hidden="1">1</definedName>
    <definedName name="solver_rel5" localSheetId="1" hidden="1">1</definedName>
    <definedName name="solver_rel5" localSheetId="2" hidden="1">3</definedName>
    <definedName name="solver_rel6" localSheetId="1" hidden="1">3</definedName>
    <definedName name="solver_rel6" localSheetId="2" hidden="1">1</definedName>
    <definedName name="solver_rel7" localSheetId="1" hidden="1">1</definedName>
    <definedName name="solver_rel7" localSheetId="2" hidden="1">3</definedName>
    <definedName name="solver_rel8" localSheetId="1" hidden="1">3</definedName>
    <definedName name="solver_rel8" localSheetId="2" hidden="1">1</definedName>
    <definedName name="solver_rel9" localSheetId="1" hidden="1">1</definedName>
    <definedName name="solver_rel9" localSheetId="2" hidden="1">3</definedName>
    <definedName name="solver_rhs1" localSheetId="1" hidden="1">OptMdl!$C$21:$E$21</definedName>
    <definedName name="solver_rhs1" localSheetId="2" hidden="1">RlxQlty!$B$2</definedName>
    <definedName name="solver_rhs10" localSheetId="2" hidden="1">RlxQlty!$G$6:$G$16</definedName>
    <definedName name="solver_rhs2" localSheetId="1" hidden="1">OptMdl!$C$24:$E$24</definedName>
    <definedName name="solver_rhs2" localSheetId="2" hidden="1">RlxQlty!$C$21:$E$21</definedName>
    <definedName name="solver_rhs3" localSheetId="1" hidden="1">OptMdl!$F$27:$F$30</definedName>
    <definedName name="solver_rhs3" localSheetId="2" hidden="1">RlxQlty!$C$24:$E$24</definedName>
    <definedName name="solver_rhs4" localSheetId="1" hidden="1">OptMdl!$B$27:$B$30</definedName>
    <definedName name="solver_rhs4" localSheetId="2" hidden="1">RlxQlty!$F$27:$F$30</definedName>
    <definedName name="solver_rhs5" localSheetId="1" hidden="1">OptMdl!$F$27:$F$30</definedName>
    <definedName name="solver_rhs5" localSheetId="2" hidden="1">RlxQlty!$B$27:$B$30</definedName>
    <definedName name="solver_rhs6" localSheetId="1" hidden="1">OptMdl!$B$27:$B$30</definedName>
    <definedName name="solver_rhs6" localSheetId="2" hidden="1">RlxQlty!$F$27:$F$30</definedName>
    <definedName name="solver_rhs7" localSheetId="1" hidden="1">OptMdl!$F$27:$F$30</definedName>
    <definedName name="solver_rhs7" localSheetId="2" hidden="1">RlxQlty!$B$27:$B$30</definedName>
    <definedName name="solver_rhs8" localSheetId="1" hidden="1">OptMdl!$B$27:$B$30</definedName>
    <definedName name="solver_rhs8" localSheetId="2" hidden="1">RlxQlty!$F$27:$F$30</definedName>
    <definedName name="solver_rhs9" localSheetId="1" hidden="1">OptMdl!$G$6:$G$16</definedName>
    <definedName name="solver_rhs9" localSheetId="2" hidden="1">RlxQlty!$B$27:$B$30</definedName>
    <definedName name="solver_rlx" localSheetId="1" hidden="1">2</definedName>
    <definedName name="solver_rlx" localSheetId="2" hidden="1">1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B3" i="4"/>
  <c r="B2" i="4"/>
  <c r="A8" i="4"/>
  <c r="A3" i="4"/>
  <c r="A4" i="4"/>
  <c r="A6" i="4"/>
  <c r="D2" i="3"/>
  <c r="F30" i="3"/>
  <c r="F29" i="3"/>
  <c r="F28" i="3"/>
  <c r="F27" i="3"/>
  <c r="B30" i="3"/>
  <c r="B29" i="3"/>
  <c r="B28" i="3"/>
  <c r="B27" i="3"/>
  <c r="C17" i="3"/>
  <c r="D17" i="3"/>
  <c r="E17" i="3"/>
  <c r="C18" i="3"/>
  <c r="D18" i="3"/>
  <c r="E18" i="3"/>
  <c r="A2" i="3"/>
  <c r="I26" i="3"/>
  <c r="H26" i="3"/>
  <c r="E24" i="3"/>
  <c r="D24" i="3"/>
  <c r="C24" i="3"/>
  <c r="E23" i="3"/>
  <c r="D23" i="3"/>
  <c r="C23" i="3"/>
  <c r="E20" i="3"/>
  <c r="D20" i="3"/>
  <c r="C20" i="3"/>
  <c r="M16" i="3"/>
  <c r="L16" i="3"/>
  <c r="K16" i="3"/>
  <c r="J16" i="3"/>
  <c r="I16" i="3"/>
  <c r="H16" i="3"/>
  <c r="G16" i="3"/>
  <c r="F16" i="3"/>
  <c r="B16" i="3"/>
  <c r="A16" i="3"/>
  <c r="M15" i="3"/>
  <c r="L15" i="3"/>
  <c r="K15" i="3"/>
  <c r="J15" i="3"/>
  <c r="I15" i="3"/>
  <c r="H15" i="3"/>
  <c r="G15" i="3"/>
  <c r="F15" i="3"/>
  <c r="B15" i="3"/>
  <c r="A15" i="3"/>
  <c r="M14" i="3"/>
  <c r="L14" i="3"/>
  <c r="K14" i="3"/>
  <c r="J14" i="3"/>
  <c r="I14" i="3"/>
  <c r="H14" i="3"/>
  <c r="G14" i="3"/>
  <c r="F14" i="3"/>
  <c r="B14" i="3"/>
  <c r="A14" i="3"/>
  <c r="M13" i="3"/>
  <c r="L13" i="3"/>
  <c r="K13" i="3"/>
  <c r="J13" i="3"/>
  <c r="I13" i="3"/>
  <c r="H13" i="3"/>
  <c r="G13" i="3"/>
  <c r="F13" i="3"/>
  <c r="B13" i="3"/>
  <c r="A13" i="3"/>
  <c r="M12" i="3"/>
  <c r="L12" i="3"/>
  <c r="K12" i="3"/>
  <c r="J12" i="3"/>
  <c r="I12" i="3"/>
  <c r="H12" i="3"/>
  <c r="G12" i="3"/>
  <c r="F12" i="3"/>
  <c r="B12" i="3"/>
  <c r="A12" i="3"/>
  <c r="M11" i="3"/>
  <c r="L11" i="3"/>
  <c r="K11" i="3"/>
  <c r="J11" i="3"/>
  <c r="I11" i="3"/>
  <c r="H11" i="3"/>
  <c r="G11" i="3"/>
  <c r="F11" i="3"/>
  <c r="B11" i="3"/>
  <c r="A11" i="3"/>
  <c r="M10" i="3"/>
  <c r="L10" i="3"/>
  <c r="K10" i="3"/>
  <c r="J10" i="3"/>
  <c r="I10" i="3"/>
  <c r="H10" i="3"/>
  <c r="G10" i="3"/>
  <c r="F10" i="3"/>
  <c r="B10" i="3"/>
  <c r="A10" i="3"/>
  <c r="M9" i="3"/>
  <c r="L9" i="3"/>
  <c r="K9" i="3"/>
  <c r="J9" i="3"/>
  <c r="I9" i="3"/>
  <c r="H9" i="3"/>
  <c r="G9" i="3"/>
  <c r="F9" i="3"/>
  <c r="B9" i="3"/>
  <c r="A9" i="3"/>
  <c r="M8" i="3"/>
  <c r="L8" i="3"/>
  <c r="K8" i="3"/>
  <c r="J8" i="3"/>
  <c r="I8" i="3"/>
  <c r="H8" i="3"/>
  <c r="G8" i="3"/>
  <c r="F8" i="3"/>
  <c r="B8" i="3"/>
  <c r="A8" i="3"/>
  <c r="M7" i="3"/>
  <c r="L7" i="3"/>
  <c r="K7" i="3"/>
  <c r="J7" i="3"/>
  <c r="I7" i="3"/>
  <c r="H7" i="3"/>
  <c r="G7" i="3"/>
  <c r="F7" i="3"/>
  <c r="B7" i="3"/>
  <c r="A7" i="3"/>
  <c r="M6" i="3"/>
  <c r="L6" i="3"/>
  <c r="K6" i="3"/>
  <c r="J6" i="3"/>
  <c r="I6" i="3"/>
  <c r="H6" i="3"/>
  <c r="G6" i="3"/>
  <c r="F6" i="3"/>
  <c r="B6" i="3"/>
  <c r="A6" i="3"/>
  <c r="M5" i="3"/>
  <c r="L5" i="3"/>
  <c r="K5" i="3"/>
  <c r="J5" i="3"/>
  <c r="I5" i="3"/>
  <c r="H5" i="3"/>
  <c r="G5" i="3"/>
  <c r="B5" i="3"/>
  <c r="A5" i="3"/>
  <c r="E29" i="2"/>
  <c r="D29" i="2"/>
  <c r="C29" i="2"/>
  <c r="E30" i="2"/>
  <c r="D30" i="2"/>
  <c r="C30" i="2"/>
  <c r="E28" i="2"/>
  <c r="D28" i="2"/>
  <c r="C28" i="2"/>
  <c r="E27" i="2"/>
  <c r="D27" i="2"/>
  <c r="C27" i="2"/>
  <c r="E24" i="2"/>
  <c r="D24" i="2"/>
  <c r="C24" i="2"/>
  <c r="E23" i="2"/>
  <c r="D23" i="2"/>
  <c r="C23" i="2"/>
  <c r="E20" i="2"/>
  <c r="D20" i="2"/>
  <c r="C20" i="2"/>
  <c r="F16" i="2"/>
  <c r="F15" i="2"/>
  <c r="F14" i="2"/>
  <c r="F13" i="2"/>
  <c r="F12" i="2"/>
  <c r="F11" i="2"/>
  <c r="F10" i="2"/>
  <c r="F9" i="2"/>
  <c r="F8" i="2"/>
  <c r="F7" i="2"/>
  <c r="F6" i="2"/>
  <c r="M16" i="2"/>
  <c r="L16" i="2"/>
  <c r="K16" i="2"/>
  <c r="J16" i="2"/>
  <c r="I16" i="2"/>
  <c r="H16" i="2"/>
  <c r="G16" i="2"/>
  <c r="B16" i="2"/>
  <c r="M15" i="2"/>
  <c r="L15" i="2"/>
  <c r="K15" i="2"/>
  <c r="J15" i="2"/>
  <c r="I15" i="2"/>
  <c r="H15" i="2"/>
  <c r="G15" i="2"/>
  <c r="B15" i="2"/>
  <c r="M14" i="2"/>
  <c r="L14" i="2"/>
  <c r="K14" i="2"/>
  <c r="J14" i="2"/>
  <c r="I14" i="2"/>
  <c r="H14" i="2"/>
  <c r="G14" i="2"/>
  <c r="B14" i="2"/>
  <c r="M13" i="2"/>
  <c r="L13" i="2"/>
  <c r="K13" i="2"/>
  <c r="J13" i="2"/>
  <c r="I13" i="2"/>
  <c r="H13" i="2"/>
  <c r="G13" i="2"/>
  <c r="B13" i="2"/>
  <c r="M12" i="2"/>
  <c r="L12" i="2"/>
  <c r="K12" i="2"/>
  <c r="J12" i="2"/>
  <c r="I12" i="2"/>
  <c r="H12" i="2"/>
  <c r="G12" i="2"/>
  <c r="B12" i="2"/>
  <c r="M11" i="2"/>
  <c r="L11" i="2"/>
  <c r="K11" i="2"/>
  <c r="J11" i="2"/>
  <c r="I11" i="2"/>
  <c r="H11" i="2"/>
  <c r="G11" i="2"/>
  <c r="B11" i="2"/>
  <c r="M10" i="2"/>
  <c r="L10" i="2"/>
  <c r="K10" i="2"/>
  <c r="J10" i="2"/>
  <c r="I10" i="2"/>
  <c r="H10" i="2"/>
  <c r="G10" i="2"/>
  <c r="B10" i="2"/>
  <c r="M9" i="2"/>
  <c r="L9" i="2"/>
  <c r="K9" i="2"/>
  <c r="J9" i="2"/>
  <c r="I9" i="2"/>
  <c r="H9" i="2"/>
  <c r="G9" i="2"/>
  <c r="B9" i="2"/>
  <c r="M8" i="2"/>
  <c r="L8" i="2"/>
  <c r="K8" i="2"/>
  <c r="J8" i="2"/>
  <c r="I8" i="2"/>
  <c r="H8" i="2"/>
  <c r="G8" i="2"/>
  <c r="B8" i="2"/>
  <c r="M7" i="2"/>
  <c r="L7" i="2"/>
  <c r="K7" i="2"/>
  <c r="J7" i="2"/>
  <c r="I7" i="2"/>
  <c r="H7" i="2"/>
  <c r="G7" i="2"/>
  <c r="B7" i="2"/>
  <c r="M6" i="2"/>
  <c r="L6" i="2"/>
  <c r="K6" i="2"/>
  <c r="J6" i="2"/>
  <c r="I6" i="2"/>
  <c r="H6" i="2"/>
  <c r="G6" i="2"/>
  <c r="B6" i="2"/>
  <c r="M5" i="2"/>
  <c r="L5" i="2"/>
  <c r="K5" i="2"/>
  <c r="J5" i="2"/>
  <c r="I5" i="2"/>
  <c r="H5" i="2"/>
  <c r="G5" i="2"/>
  <c r="B5" i="2"/>
  <c r="A16" i="2"/>
  <c r="A15" i="2"/>
  <c r="A14" i="2"/>
  <c r="A13" i="2"/>
  <c r="A12" i="2"/>
  <c r="A11" i="2"/>
  <c r="A10" i="2"/>
  <c r="A9" i="2"/>
  <c r="A8" i="2"/>
  <c r="A7" i="2"/>
  <c r="A6" i="2"/>
  <c r="A5" i="2"/>
  <c r="C18" i="2"/>
  <c r="D18" i="2"/>
  <c r="E17" i="2"/>
  <c r="E18" i="2"/>
  <c r="D17" i="2"/>
  <c r="C17" i="2"/>
  <c r="A2" i="2"/>
  <c r="C27" i="3"/>
  <c r="D27" i="3"/>
  <c r="E27" i="3"/>
  <c r="C28" i="3"/>
  <c r="D28" i="3"/>
  <c r="E28" i="3"/>
  <c r="C29" i="3"/>
  <c r="D29" i="3"/>
  <c r="E29" i="3"/>
  <c r="C30" i="3"/>
  <c r="D30" i="3"/>
  <c r="E30" i="3"/>
</calcChain>
</file>

<file path=xl/sharedStrings.xml><?xml version="1.0" encoding="utf-8"?>
<sst xmlns="http://schemas.openxmlformats.org/spreadsheetml/2006/main" count="81" uniqueCount="55">
  <si>
    <t>Varietal</t>
  </si>
  <si>
    <t>Region</t>
  </si>
  <si>
    <t>Qty Available (1,000 Gallons)</t>
  </si>
  <si>
    <t>Brix / Acid Ratio</t>
  </si>
  <si>
    <t>Acid (%)</t>
  </si>
  <si>
    <t>Astringency (1-10 Scale)</t>
  </si>
  <si>
    <t>Color (1-10 Scale)</t>
  </si>
  <si>
    <t>Price (per 1K Gallons)</t>
  </si>
  <si>
    <t>Shipping</t>
  </si>
  <si>
    <t>Hamlin</t>
  </si>
  <si>
    <t>Brazil</t>
  </si>
  <si>
    <t>Mosambi</t>
  </si>
  <si>
    <t>India</t>
  </si>
  <si>
    <t>Valencia</t>
  </si>
  <si>
    <t>Florida</t>
  </si>
  <si>
    <t>California</t>
  </si>
  <si>
    <t>Gardner</t>
  </si>
  <si>
    <t>Arizona</t>
  </si>
  <si>
    <t>Sunstar</t>
  </si>
  <si>
    <t>Texas</t>
  </si>
  <si>
    <t>Jincheng</t>
  </si>
  <si>
    <t>China</t>
  </si>
  <si>
    <t>Berna</t>
  </si>
  <si>
    <t>Spain</t>
  </si>
  <si>
    <t>Verna</t>
  </si>
  <si>
    <t>Mexico</t>
  </si>
  <si>
    <t>Biondo Commune</t>
  </si>
  <si>
    <t>Egypt</t>
  </si>
  <si>
    <t>Belladonna</t>
  </si>
  <si>
    <t>Italy</t>
  </si>
  <si>
    <t>TOTAL COST(GOAL)</t>
  </si>
  <si>
    <t>SPECS</t>
  </si>
  <si>
    <t>PURCHASE DECISIONS</t>
  </si>
  <si>
    <t>Jan</t>
  </si>
  <si>
    <t>Feb</t>
  </si>
  <si>
    <t>Mar</t>
  </si>
  <si>
    <t>Total
Ordered</t>
  </si>
  <si>
    <t>Price</t>
  </si>
  <si>
    <t>Monthly</t>
  </si>
  <si>
    <t>Total Ordered</t>
  </si>
  <si>
    <t>Total Required</t>
  </si>
  <si>
    <t>Valencia Ordered</t>
  </si>
  <si>
    <t>Valencia Required</t>
  </si>
  <si>
    <t>CONSTRAINTS</t>
  </si>
  <si>
    <t>Quality</t>
  </si>
  <si>
    <t>Minimum</t>
  </si>
  <si>
    <t>BAR</t>
  </si>
  <si>
    <t>ACID</t>
  </si>
  <si>
    <t>ASTRINGENCY</t>
  </si>
  <si>
    <t>COLOR</t>
  </si>
  <si>
    <t>Maximum</t>
  </si>
  <si>
    <t>Relax%</t>
  </si>
  <si>
    <t>TOTAL COST</t>
  </si>
  <si>
    <t>Cost Limit</t>
  </si>
  <si>
    <t>Average % Relaxed: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</si>
</sst>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/>
    <xf numFmtId="0" fontId="2" fillId="2" borderId="0" xfId="0" applyFont="1" applyFill="1"/>
    <xf numFmtId="10" fontId="2" fillId="2" borderId="0" xfId="2" applyNumberFormat="1" applyFont="1" applyFill="1" applyBorder="1"/>
    <xf numFmtId="44" fontId="2" fillId="2" borderId="0" xfId="1" applyFont="1" applyFill="1" applyBorder="1"/>
    <xf numFmtId="44" fontId="2" fillId="2" borderId="5" xfId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0" fontId="2" fillId="2" borderId="7" xfId="2" applyNumberFormat="1" applyFont="1" applyFill="1" applyBorder="1"/>
    <xf numFmtId="44" fontId="2" fillId="2" borderId="7" xfId="1" applyFont="1" applyFill="1" applyBorder="1"/>
    <xf numFmtId="44" fontId="2" fillId="2" borderId="8" xfId="1" applyFont="1" applyFill="1" applyBorder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3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2" fontId="2" fillId="0" borderId="7" xfId="0" applyNumberFormat="1" applyFont="1" applyBorder="1" applyAlignment="1">
      <alignment horizontal="left" vertical="center"/>
    </xf>
    <xf numFmtId="9" fontId="2" fillId="0" borderId="0" xfId="2" applyFont="1" applyAlignment="1">
      <alignment horizontal="left" vertical="center"/>
    </xf>
    <xf numFmtId="165" fontId="2" fillId="0" borderId="4" xfId="0" applyNumberFormat="1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left" vertical="center"/>
    </xf>
    <xf numFmtId="166" fontId="4" fillId="3" borderId="9" xfId="2" applyNumberFormat="1" applyFont="1" applyFill="1" applyBorder="1"/>
    <xf numFmtId="164" fontId="2" fillId="0" borderId="0" xfId="1" applyNumberFormat="1" applyFont="1"/>
    <xf numFmtId="164" fontId="2" fillId="0" borderId="0" xfId="0" applyNumberFormat="1" applyFont="1"/>
    <xf numFmtId="10" fontId="2" fillId="0" borderId="0" xfId="2" applyNumberFormat="1" applyFont="1" applyAlignment="1">
      <alignment horizontal="left" vertical="center"/>
    </xf>
    <xf numFmtId="10" fontId="2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 degradation</a:t>
            </a:r>
          </a:p>
        </c:rich>
      </c:tx>
      <c:layout>
        <c:manualLayout>
          <c:xMode val="edge"/>
          <c:yMode val="edge"/>
          <c:x val="0.34853321639031792"/>
          <c:y val="1.563649651860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Frontier!$C$1</c:f>
              <c:strCache>
                <c:ptCount val="1"/>
                <c:pt idx="0">
                  <c:v>Relax%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Frontier!$A$2:$A$8</c:f>
              <c:numCache>
                <c:formatCode>_("$"* #,##0_);_("$"* \(#,##0\);_("$"* "-"??_);_(@_)</c:formatCode>
                <c:ptCount val="7"/>
                <c:pt idx="0">
                  <c:v>1227000</c:v>
                </c:pt>
                <c:pt idx="1">
                  <c:v>1207000</c:v>
                </c:pt>
                <c:pt idx="2">
                  <c:v>1187000</c:v>
                </c:pt>
                <c:pt idx="3">
                  <c:v>1170000</c:v>
                </c:pt>
                <c:pt idx="4">
                  <c:v>1167000</c:v>
                </c:pt>
                <c:pt idx="5">
                  <c:v>1147000</c:v>
                </c:pt>
                <c:pt idx="6">
                  <c:v>1127000</c:v>
                </c:pt>
              </c:numCache>
            </c:numRef>
          </c:xVal>
          <c:yVal>
            <c:numRef>
              <c:f>Frontier!$C$2:$C$8</c:f>
              <c:numCache>
                <c:formatCode>0.00%</c:formatCode>
                <c:ptCount val="7"/>
                <c:pt idx="0">
                  <c:v>0</c:v>
                </c:pt>
                <c:pt idx="1">
                  <c:v>6.3E-2</c:v>
                </c:pt>
                <c:pt idx="2">
                  <c:v>0.193</c:v>
                </c:pt>
                <c:pt idx="3">
                  <c:v>0.34799999999999998</c:v>
                </c:pt>
                <c:pt idx="4">
                  <c:v>0.375</c:v>
                </c:pt>
                <c:pt idx="5">
                  <c:v>0.56599999999999995</c:v>
                </c:pt>
                <c:pt idx="6">
                  <c:v>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0-4463-9303-7FEFF130D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97631"/>
        <c:axId val="1253562383"/>
      </c:scatterChart>
      <c:valAx>
        <c:axId val="133459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2383"/>
        <c:crosses val="autoZero"/>
        <c:crossBetween val="midCat"/>
      </c:valAx>
      <c:valAx>
        <c:axId val="12535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9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vs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Frontier!$B$1</c:f>
              <c:strCache>
                <c:ptCount val="1"/>
                <c:pt idx="0">
                  <c:v>Quality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Frontier!$A$2:$A$8</c:f>
              <c:numCache>
                <c:formatCode>_("$"* #,##0_);_("$"* \(#,##0\);_("$"* "-"??_);_(@_)</c:formatCode>
                <c:ptCount val="7"/>
                <c:pt idx="0">
                  <c:v>1227000</c:v>
                </c:pt>
                <c:pt idx="1">
                  <c:v>1207000</c:v>
                </c:pt>
                <c:pt idx="2">
                  <c:v>1187000</c:v>
                </c:pt>
                <c:pt idx="3">
                  <c:v>1170000</c:v>
                </c:pt>
                <c:pt idx="4">
                  <c:v>1167000</c:v>
                </c:pt>
                <c:pt idx="5">
                  <c:v>1147000</c:v>
                </c:pt>
                <c:pt idx="6">
                  <c:v>1127000</c:v>
                </c:pt>
              </c:numCache>
            </c:numRef>
          </c:xVal>
          <c:yVal>
            <c:numRef>
              <c:f>Frontier!$B$2:$B$8</c:f>
              <c:numCache>
                <c:formatCode>0.00%</c:formatCode>
                <c:ptCount val="7"/>
                <c:pt idx="0">
                  <c:v>1</c:v>
                </c:pt>
                <c:pt idx="1">
                  <c:v>0.93700000000000006</c:v>
                </c:pt>
                <c:pt idx="2">
                  <c:v>0.80699999999999994</c:v>
                </c:pt>
                <c:pt idx="3">
                  <c:v>0.65200000000000002</c:v>
                </c:pt>
                <c:pt idx="4">
                  <c:v>0.625</c:v>
                </c:pt>
                <c:pt idx="5">
                  <c:v>0.43400000000000005</c:v>
                </c:pt>
                <c:pt idx="6">
                  <c:v>5.8000000000000052E-2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9-4A31-B907-106AF4FE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90623"/>
        <c:axId val="703340415"/>
      </c:scatterChart>
      <c:valAx>
        <c:axId val="13494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40415"/>
        <c:crosses val="autoZero"/>
        <c:crossBetween val="midCat"/>
      </c:valAx>
      <c:valAx>
        <c:axId val="7033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9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1</xdr:row>
      <xdr:rowOff>33617</xdr:rowOff>
    </xdr:from>
    <xdr:to>
      <xdr:col>21</xdr:col>
      <xdr:colOff>313959</xdr:colOff>
      <xdr:row>27</xdr:row>
      <xdr:rowOff>6386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89CB80-5873-495A-B983-BBEB2EA4D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0794" y="235323"/>
          <a:ext cx="5401429" cy="5620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459441</xdr:colOff>
      <xdr:row>0</xdr:row>
      <xdr:rowOff>190500</xdr:rowOff>
    </xdr:from>
    <xdr:to>
      <xdr:col>21</xdr:col>
      <xdr:colOff>335241</xdr:colOff>
      <xdr:row>26</xdr:row>
      <xdr:rowOff>144217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82595A-B20C-4303-ACB7-2081E40B9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4441" y="190500"/>
          <a:ext cx="5344271" cy="56014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302559</xdr:colOff>
      <xdr:row>18</xdr:row>
      <xdr:rowOff>163605</xdr:rowOff>
    </xdr:from>
    <xdr:to>
      <xdr:col>12</xdr:col>
      <xdr:colOff>549088</xdr:colOff>
      <xdr:row>38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22C16-4A93-43D4-B2FD-EB8D8813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341779</xdr:colOff>
      <xdr:row>0</xdr:row>
      <xdr:rowOff>152399</xdr:rowOff>
    </xdr:from>
    <xdr:to>
      <xdr:col>12</xdr:col>
      <xdr:colOff>616324</xdr:colOff>
      <xdr:row>17</xdr:row>
      <xdr:rowOff>100852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B721D5-E6F9-4215-A251-13B3A7B4F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1C0-3EE1-419D-AD7C-E02EA5463DD8}">
  <dimension ref="A1:I12"/>
  <sheetViews>
    <sheetView zoomScale="85" zoomScaleNormal="85" zoomScalePageLayoutView="125" workbookViewId="0">
      <selection activeCell="G20" sqref="G20"/>
    </sheetView>
  </sheetViews>
  <sheetFormatPr defaultColWidth="11" defaultRowHeight="15.75" x14ac:dyDescent="0.25"/>
  <cols>
    <col min="1" max="1" width="18" style="1" bestFit="1" customWidth="1"/>
    <col min="2" max="2" width="11" style="1"/>
    <col min="3" max="7" width="11.125" style="1" bestFit="1" customWidth="1"/>
    <col min="8" max="9" width="11.625" style="1" bestFit="1" customWidth="1"/>
    <col min="10" max="16384" width="11" style="1"/>
  </cols>
  <sheetData>
    <row r="1" spans="1:9" ht="63" x14ac:dyDescent="0.25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 t="s">
        <v>9</v>
      </c>
      <c r="B2" s="6" t="s">
        <v>10</v>
      </c>
      <c r="C2" s="5">
        <v>672</v>
      </c>
      <c r="D2" s="6">
        <v>10.5</v>
      </c>
      <c r="E2" s="7">
        <v>6.0000000000000001E-3</v>
      </c>
      <c r="F2" s="6">
        <v>3</v>
      </c>
      <c r="G2" s="6">
        <v>3</v>
      </c>
      <c r="H2" s="8">
        <v>500</v>
      </c>
      <c r="I2" s="9">
        <v>100</v>
      </c>
    </row>
    <row r="3" spans="1:9" x14ac:dyDescent="0.25">
      <c r="A3" s="5" t="s">
        <v>11</v>
      </c>
      <c r="B3" s="6" t="s">
        <v>12</v>
      </c>
      <c r="C3" s="5">
        <v>400</v>
      </c>
      <c r="D3" s="6">
        <v>6.5</v>
      </c>
      <c r="E3" s="7">
        <v>1.4E-2</v>
      </c>
      <c r="F3" s="6">
        <v>7</v>
      </c>
      <c r="G3" s="6">
        <v>1</v>
      </c>
      <c r="H3" s="8">
        <v>310</v>
      </c>
      <c r="I3" s="9">
        <v>150</v>
      </c>
    </row>
    <row r="4" spans="1:9" x14ac:dyDescent="0.25">
      <c r="A4" s="5" t="s">
        <v>13</v>
      </c>
      <c r="B4" s="6" t="s">
        <v>14</v>
      </c>
      <c r="C4" s="5">
        <v>1200</v>
      </c>
      <c r="D4" s="6">
        <v>12</v>
      </c>
      <c r="E4" s="7">
        <v>9.4999999999999998E-3</v>
      </c>
      <c r="F4" s="6">
        <v>3</v>
      </c>
      <c r="G4" s="6">
        <v>3</v>
      </c>
      <c r="H4" s="8">
        <v>750</v>
      </c>
      <c r="I4" s="9">
        <v>0</v>
      </c>
    </row>
    <row r="5" spans="1:9" x14ac:dyDescent="0.25">
      <c r="A5" s="5" t="s">
        <v>9</v>
      </c>
      <c r="B5" s="6" t="s">
        <v>15</v>
      </c>
      <c r="C5" s="5">
        <v>168</v>
      </c>
      <c r="D5" s="6">
        <v>11</v>
      </c>
      <c r="E5" s="7">
        <v>0.01</v>
      </c>
      <c r="F5" s="6">
        <v>3</v>
      </c>
      <c r="G5" s="6">
        <v>5</v>
      </c>
      <c r="H5" s="8">
        <v>600</v>
      </c>
      <c r="I5" s="9">
        <v>60</v>
      </c>
    </row>
    <row r="6" spans="1:9" x14ac:dyDescent="0.25">
      <c r="A6" s="5" t="s">
        <v>16</v>
      </c>
      <c r="B6" s="6" t="s">
        <v>17</v>
      </c>
      <c r="C6" s="5">
        <v>84</v>
      </c>
      <c r="D6" s="6">
        <v>12</v>
      </c>
      <c r="E6" s="7">
        <v>7.0000000000000001E-3</v>
      </c>
      <c r="F6" s="6">
        <v>1</v>
      </c>
      <c r="G6" s="6">
        <v>5</v>
      </c>
      <c r="H6" s="8">
        <v>600</v>
      </c>
      <c r="I6" s="9">
        <v>75</v>
      </c>
    </row>
    <row r="7" spans="1:9" x14ac:dyDescent="0.25">
      <c r="A7" s="5" t="s">
        <v>18</v>
      </c>
      <c r="B7" s="6" t="s">
        <v>19</v>
      </c>
      <c r="C7" s="5">
        <v>210</v>
      </c>
      <c r="D7" s="6">
        <v>10</v>
      </c>
      <c r="E7" s="7">
        <v>7.0000000000000001E-3</v>
      </c>
      <c r="F7" s="6">
        <v>1</v>
      </c>
      <c r="G7" s="6">
        <v>5</v>
      </c>
      <c r="H7" s="8">
        <v>625</v>
      </c>
      <c r="I7" s="9">
        <v>50</v>
      </c>
    </row>
    <row r="8" spans="1:9" x14ac:dyDescent="0.25">
      <c r="A8" s="5" t="s">
        <v>20</v>
      </c>
      <c r="B8" s="6" t="s">
        <v>21</v>
      </c>
      <c r="C8" s="5">
        <v>588</v>
      </c>
      <c r="D8" s="6">
        <v>9</v>
      </c>
      <c r="E8" s="7">
        <v>1.35E-2</v>
      </c>
      <c r="F8" s="6">
        <v>7</v>
      </c>
      <c r="G8" s="6">
        <v>3</v>
      </c>
      <c r="H8" s="8">
        <v>440</v>
      </c>
      <c r="I8" s="9">
        <v>120</v>
      </c>
    </row>
    <row r="9" spans="1:9" x14ac:dyDescent="0.25">
      <c r="A9" s="5" t="s">
        <v>22</v>
      </c>
      <c r="B9" s="6" t="s">
        <v>23</v>
      </c>
      <c r="C9" s="5">
        <v>168</v>
      </c>
      <c r="D9" s="6">
        <v>15</v>
      </c>
      <c r="E9" s="7">
        <v>1.0999999999999999E-2</v>
      </c>
      <c r="F9" s="6">
        <v>4</v>
      </c>
      <c r="G9" s="6">
        <v>8</v>
      </c>
      <c r="H9" s="8">
        <v>600</v>
      </c>
      <c r="I9" s="9">
        <v>110</v>
      </c>
    </row>
    <row r="10" spans="1:9" x14ac:dyDescent="0.25">
      <c r="A10" s="5" t="s">
        <v>24</v>
      </c>
      <c r="B10" s="6" t="s">
        <v>25</v>
      </c>
      <c r="C10" s="5">
        <v>300</v>
      </c>
      <c r="D10" s="6">
        <v>8</v>
      </c>
      <c r="E10" s="7">
        <v>1.2999999999999999E-2</v>
      </c>
      <c r="F10" s="6">
        <v>8</v>
      </c>
      <c r="G10" s="6">
        <v>3</v>
      </c>
      <c r="H10" s="8">
        <v>300</v>
      </c>
      <c r="I10" s="9">
        <v>90</v>
      </c>
    </row>
    <row r="11" spans="1:9" x14ac:dyDescent="0.25">
      <c r="A11" s="5" t="s">
        <v>26</v>
      </c>
      <c r="B11" s="6" t="s">
        <v>27</v>
      </c>
      <c r="C11" s="5">
        <v>210</v>
      </c>
      <c r="D11" s="6">
        <v>13</v>
      </c>
      <c r="E11" s="7">
        <v>1.2999999999999999E-2</v>
      </c>
      <c r="F11" s="6">
        <v>3</v>
      </c>
      <c r="G11" s="6">
        <v>5</v>
      </c>
      <c r="H11" s="8">
        <v>460</v>
      </c>
      <c r="I11" s="9">
        <v>130</v>
      </c>
    </row>
    <row r="12" spans="1:9" x14ac:dyDescent="0.25">
      <c r="A12" s="10" t="s">
        <v>28</v>
      </c>
      <c r="B12" s="11" t="s">
        <v>29</v>
      </c>
      <c r="C12" s="10">
        <v>180</v>
      </c>
      <c r="D12" s="11">
        <v>14</v>
      </c>
      <c r="E12" s="12">
        <v>5.0000000000000001E-3</v>
      </c>
      <c r="F12" s="11">
        <v>3</v>
      </c>
      <c r="G12" s="11">
        <v>9</v>
      </c>
      <c r="H12" s="13">
        <v>505</v>
      </c>
      <c r="I12" s="14">
        <v>115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C7AE-73D4-496A-8518-2A67354E6227}">
  <dimension ref="A1:M30"/>
  <sheetViews>
    <sheetView zoomScale="85" zoomScaleNormal="85" workbookViewId="0">
      <selection activeCell="I28" sqref="I28"/>
    </sheetView>
  </sheetViews>
  <sheetFormatPr defaultRowHeight="15.75" x14ac:dyDescent="0.25"/>
  <cols>
    <col min="1" max="1" width="20.625" style="16" customWidth="1"/>
    <col min="2" max="2" width="13" style="16" customWidth="1"/>
    <col min="3" max="5" width="14.125" style="16" bestFit="1" customWidth="1"/>
    <col min="6" max="13" width="11" style="16" customWidth="1"/>
    <col min="14" max="16384" width="9" style="16"/>
  </cols>
  <sheetData>
    <row r="1" spans="1:13" x14ac:dyDescent="0.25">
      <c r="A1" s="15" t="s">
        <v>30</v>
      </c>
    </row>
    <row r="2" spans="1:13" x14ac:dyDescent="0.25">
      <c r="A2" s="17">
        <f>SUM(C17:E19)</f>
        <v>1227560.0000000002</v>
      </c>
    </row>
    <row r="4" spans="1:13" x14ac:dyDescent="0.25">
      <c r="A4" s="15" t="s">
        <v>32</v>
      </c>
      <c r="G4" s="23" t="s">
        <v>31</v>
      </c>
    </row>
    <row r="5" spans="1:13" s="18" customFormat="1" ht="47.25" customHeight="1" x14ac:dyDescent="0.25">
      <c r="A5" s="20" t="str">
        <f>Specs!A1</f>
        <v>Varietal</v>
      </c>
      <c r="B5" s="20" t="str">
        <f>Specs!B1</f>
        <v>Region</v>
      </c>
      <c r="C5" s="21" t="s">
        <v>33</v>
      </c>
      <c r="D5" s="21" t="s">
        <v>34</v>
      </c>
      <c r="E5" s="21" t="s">
        <v>35</v>
      </c>
      <c r="F5" s="22" t="s">
        <v>36</v>
      </c>
      <c r="G5" s="24" t="str">
        <f>Specs!C1</f>
        <v>Qty Available (1,000 Gallons)</v>
      </c>
      <c r="H5" s="20" t="str">
        <f>Specs!D1</f>
        <v>Brix / Acid Ratio</v>
      </c>
      <c r="I5" s="20" t="str">
        <f>Specs!E1</f>
        <v>Acid (%)</v>
      </c>
      <c r="J5" s="20" t="str">
        <f>Specs!F1</f>
        <v>Astringency (1-10 Scale)</v>
      </c>
      <c r="K5" s="20" t="str">
        <f>Specs!G1</f>
        <v>Color (1-10 Scale)</v>
      </c>
      <c r="L5" s="20" t="str">
        <f>Specs!H1</f>
        <v>Price (per 1K Gallons)</v>
      </c>
      <c r="M5" s="20" t="str">
        <f>Specs!I1</f>
        <v>Shipping</v>
      </c>
    </row>
    <row r="6" spans="1:13" x14ac:dyDescent="0.25">
      <c r="A6" s="16" t="str">
        <f>Specs!A2</f>
        <v>Hamlin</v>
      </c>
      <c r="B6" s="16" t="str">
        <f>Specs!B2</f>
        <v>Brazil</v>
      </c>
      <c r="C6" s="27">
        <v>0</v>
      </c>
      <c r="D6" s="27">
        <v>0</v>
      </c>
      <c r="E6" s="27">
        <v>0</v>
      </c>
      <c r="F6" s="19">
        <f>SUM(C6:E6)</f>
        <v>0</v>
      </c>
      <c r="G6" s="19">
        <f>Specs!C2</f>
        <v>672</v>
      </c>
      <c r="H6" s="16">
        <f>Specs!D2</f>
        <v>10.5</v>
      </c>
      <c r="I6" s="16">
        <f>Specs!E2</f>
        <v>6.0000000000000001E-3</v>
      </c>
      <c r="J6" s="16">
        <f>Specs!F2</f>
        <v>3</v>
      </c>
      <c r="K6" s="16">
        <f>Specs!G2</f>
        <v>3</v>
      </c>
      <c r="L6" s="16">
        <f>Specs!H2</f>
        <v>500</v>
      </c>
      <c r="M6" s="16">
        <f>Specs!I2</f>
        <v>100</v>
      </c>
    </row>
    <row r="7" spans="1:13" x14ac:dyDescent="0.25">
      <c r="A7" s="16" t="str">
        <f>Specs!A3</f>
        <v>Mosambi</v>
      </c>
      <c r="B7" s="16" t="str">
        <f>Specs!B3</f>
        <v>India</v>
      </c>
      <c r="C7" s="27">
        <v>13.500000000000204</v>
      </c>
      <c r="D7" s="27">
        <v>0</v>
      </c>
      <c r="E7" s="27">
        <v>0</v>
      </c>
      <c r="F7" s="19">
        <f t="shared" ref="F7:F16" si="0">SUM(C7:E7)</f>
        <v>13.500000000000204</v>
      </c>
      <c r="G7" s="19">
        <f>Specs!C3</f>
        <v>400</v>
      </c>
      <c r="H7" s="16">
        <f>Specs!D3</f>
        <v>6.5</v>
      </c>
      <c r="I7" s="16">
        <f>Specs!E3</f>
        <v>1.4E-2</v>
      </c>
      <c r="J7" s="16">
        <f>Specs!F3</f>
        <v>7</v>
      </c>
      <c r="K7" s="16">
        <f>Specs!G3</f>
        <v>1</v>
      </c>
      <c r="L7" s="16">
        <f>Specs!H3</f>
        <v>310</v>
      </c>
      <c r="M7" s="16">
        <f>Specs!I3</f>
        <v>150</v>
      </c>
    </row>
    <row r="8" spans="1:13" x14ac:dyDescent="0.25">
      <c r="A8" s="16" t="str">
        <f>Specs!A4</f>
        <v>Valencia</v>
      </c>
      <c r="B8" s="16" t="str">
        <f>Specs!B4</f>
        <v>Florida</v>
      </c>
      <c r="C8" s="27">
        <v>240.00000000000006</v>
      </c>
      <c r="D8" s="27">
        <v>240.00000000000009</v>
      </c>
      <c r="E8" s="27">
        <v>280</v>
      </c>
      <c r="F8" s="19">
        <f t="shared" si="0"/>
        <v>760.00000000000011</v>
      </c>
      <c r="G8" s="19">
        <f>Specs!C4</f>
        <v>1200</v>
      </c>
      <c r="H8" s="16">
        <f>Specs!D4</f>
        <v>12</v>
      </c>
      <c r="I8" s="16">
        <f>Specs!E4</f>
        <v>9.4999999999999998E-3</v>
      </c>
      <c r="J8" s="16">
        <f>Specs!F4</f>
        <v>3</v>
      </c>
      <c r="K8" s="16">
        <f>Specs!G4</f>
        <v>3</v>
      </c>
      <c r="L8" s="16">
        <f>Specs!H4</f>
        <v>750</v>
      </c>
      <c r="M8" s="16">
        <f>Specs!I4</f>
        <v>0</v>
      </c>
    </row>
    <row r="9" spans="1:13" x14ac:dyDescent="0.25">
      <c r="A9" s="16" t="str">
        <f>Specs!A5</f>
        <v>Hamlin</v>
      </c>
      <c r="B9" s="16" t="str">
        <f>Specs!B5</f>
        <v>California</v>
      </c>
      <c r="C9" s="27">
        <v>22.900000000001135</v>
      </c>
      <c r="D9" s="27">
        <v>0</v>
      </c>
      <c r="E9" s="27">
        <v>88.266666666665913</v>
      </c>
      <c r="F9" s="19">
        <f t="shared" si="0"/>
        <v>111.16666666666706</v>
      </c>
      <c r="G9" s="19">
        <f>Specs!C5</f>
        <v>168</v>
      </c>
      <c r="H9" s="16">
        <f>Specs!D5</f>
        <v>11</v>
      </c>
      <c r="I9" s="16">
        <f>Specs!E5</f>
        <v>0.01</v>
      </c>
      <c r="J9" s="16">
        <f>Specs!F5</f>
        <v>3</v>
      </c>
      <c r="K9" s="16">
        <f>Specs!G5</f>
        <v>5</v>
      </c>
      <c r="L9" s="16">
        <f>Specs!H5</f>
        <v>600</v>
      </c>
      <c r="M9" s="16">
        <f>Specs!I5</f>
        <v>60</v>
      </c>
    </row>
    <row r="10" spans="1:13" x14ac:dyDescent="0.25">
      <c r="A10" s="16" t="str">
        <f>Specs!A6</f>
        <v>Gardner</v>
      </c>
      <c r="B10" s="16" t="str">
        <f>Specs!B6</f>
        <v>Arizona</v>
      </c>
      <c r="C10" s="27">
        <v>0</v>
      </c>
      <c r="D10" s="27">
        <v>83.999999999999986</v>
      </c>
      <c r="E10" s="27">
        <v>0</v>
      </c>
      <c r="F10" s="19">
        <f t="shared" si="0"/>
        <v>83.999999999999986</v>
      </c>
      <c r="G10" s="19">
        <f>Specs!C6</f>
        <v>84</v>
      </c>
      <c r="H10" s="16">
        <f>Specs!D6</f>
        <v>12</v>
      </c>
      <c r="I10" s="16">
        <f>Specs!E6</f>
        <v>7.0000000000000001E-3</v>
      </c>
      <c r="J10" s="16">
        <f>Specs!F6</f>
        <v>1</v>
      </c>
      <c r="K10" s="16">
        <f>Specs!G6</f>
        <v>5</v>
      </c>
      <c r="L10" s="16">
        <f>Specs!H6</f>
        <v>600</v>
      </c>
      <c r="M10" s="16">
        <f>Specs!I6</f>
        <v>75</v>
      </c>
    </row>
    <row r="11" spans="1:13" x14ac:dyDescent="0.25">
      <c r="A11" s="16" t="str">
        <f>Specs!A7</f>
        <v>Sunstar</v>
      </c>
      <c r="B11" s="16" t="str">
        <f>Specs!B7</f>
        <v>Texas</v>
      </c>
      <c r="C11" s="27">
        <v>0</v>
      </c>
      <c r="D11" s="27">
        <v>44.09696969696963</v>
      </c>
      <c r="E11" s="27">
        <v>29.236363636363258</v>
      </c>
      <c r="F11" s="19">
        <f t="shared" si="0"/>
        <v>73.333333333332888</v>
      </c>
      <c r="G11" s="19">
        <f>Specs!C7</f>
        <v>210</v>
      </c>
      <c r="H11" s="16">
        <f>Specs!D7</f>
        <v>10</v>
      </c>
      <c r="I11" s="16">
        <f>Specs!E7</f>
        <v>7.0000000000000001E-3</v>
      </c>
      <c r="J11" s="16">
        <f>Specs!F7</f>
        <v>1</v>
      </c>
      <c r="K11" s="16">
        <f>Specs!G7</f>
        <v>5</v>
      </c>
      <c r="L11" s="16">
        <f>Specs!H7</f>
        <v>625</v>
      </c>
      <c r="M11" s="16">
        <f>Specs!I7</f>
        <v>50</v>
      </c>
    </row>
    <row r="12" spans="1:13" x14ac:dyDescent="0.25">
      <c r="A12" s="16" t="str">
        <f>Specs!A8</f>
        <v>Jincheng</v>
      </c>
      <c r="B12" s="16" t="str">
        <f>Specs!B8</f>
        <v>China</v>
      </c>
      <c r="C12" s="27">
        <v>0</v>
      </c>
      <c r="D12" s="27">
        <v>0</v>
      </c>
      <c r="E12" s="27">
        <v>0</v>
      </c>
      <c r="F12" s="19">
        <f t="shared" si="0"/>
        <v>0</v>
      </c>
      <c r="G12" s="19">
        <f>Specs!C8</f>
        <v>588</v>
      </c>
      <c r="H12" s="16">
        <f>Specs!D8</f>
        <v>9</v>
      </c>
      <c r="I12" s="16">
        <f>Specs!E8</f>
        <v>1.35E-2</v>
      </c>
      <c r="J12" s="16">
        <f>Specs!F8</f>
        <v>7</v>
      </c>
      <c r="K12" s="16">
        <f>Specs!G8</f>
        <v>3</v>
      </c>
      <c r="L12" s="16">
        <f>Specs!H8</f>
        <v>440</v>
      </c>
      <c r="M12" s="16">
        <f>Specs!I8</f>
        <v>120</v>
      </c>
    </row>
    <row r="13" spans="1:13" x14ac:dyDescent="0.25">
      <c r="A13" s="16" t="str">
        <f>Specs!A9</f>
        <v>Berna</v>
      </c>
      <c r="B13" s="16" t="str">
        <f>Specs!B9</f>
        <v>Spain</v>
      </c>
      <c r="C13" s="27">
        <v>0</v>
      </c>
      <c r="D13" s="27">
        <v>95.70909090909106</v>
      </c>
      <c r="E13" s="27">
        <v>72.290909090908997</v>
      </c>
      <c r="F13" s="19">
        <f t="shared" si="0"/>
        <v>168.00000000000006</v>
      </c>
      <c r="G13" s="19">
        <f>Specs!C9</f>
        <v>168</v>
      </c>
      <c r="H13" s="16">
        <f>Specs!D9</f>
        <v>15</v>
      </c>
      <c r="I13" s="16">
        <f>Specs!E9</f>
        <v>1.0999999999999999E-2</v>
      </c>
      <c r="J13" s="16">
        <f>Specs!F9</f>
        <v>4</v>
      </c>
      <c r="K13" s="16">
        <f>Specs!G9</f>
        <v>8</v>
      </c>
      <c r="L13" s="16">
        <f>Specs!H9</f>
        <v>600</v>
      </c>
      <c r="M13" s="16">
        <f>Specs!I9</f>
        <v>110</v>
      </c>
    </row>
    <row r="14" spans="1:13" x14ac:dyDescent="0.25">
      <c r="A14" s="16" t="str">
        <f>Specs!A10</f>
        <v>Verna</v>
      </c>
      <c r="B14" s="16" t="str">
        <f>Specs!B10</f>
        <v>Mexico</v>
      </c>
      <c r="C14" s="27">
        <v>109.19999999999969</v>
      </c>
      <c r="D14" s="27">
        <v>53.563636363636839</v>
      </c>
      <c r="E14" s="27">
        <v>137.23636363636356</v>
      </c>
      <c r="F14" s="19">
        <f t="shared" si="0"/>
        <v>300.00000000000011</v>
      </c>
      <c r="G14" s="19">
        <f>Specs!C10</f>
        <v>300</v>
      </c>
      <c r="H14" s="16">
        <f>Specs!D10</f>
        <v>8</v>
      </c>
      <c r="I14" s="16">
        <f>Specs!E10</f>
        <v>1.2999999999999999E-2</v>
      </c>
      <c r="J14" s="16">
        <f>Specs!F10</f>
        <v>8</v>
      </c>
      <c r="K14" s="16">
        <f>Specs!G10</f>
        <v>3</v>
      </c>
      <c r="L14" s="16">
        <f>Specs!H10</f>
        <v>300</v>
      </c>
      <c r="M14" s="16">
        <f>Specs!I10</f>
        <v>90</v>
      </c>
    </row>
    <row r="15" spans="1:13" x14ac:dyDescent="0.25">
      <c r="A15" s="16" t="str">
        <f>Specs!A11</f>
        <v>Biondo Commune</v>
      </c>
      <c r="B15" s="16" t="str">
        <f>Specs!B11</f>
        <v>Egypt</v>
      </c>
      <c r="C15" s="27">
        <v>101.29999999999937</v>
      </c>
      <c r="D15" s="27">
        <v>82.63030303030277</v>
      </c>
      <c r="E15" s="27">
        <v>26.06969696969778</v>
      </c>
      <c r="F15" s="19">
        <f t="shared" si="0"/>
        <v>209.99999999999991</v>
      </c>
      <c r="G15" s="19">
        <f>Specs!C11</f>
        <v>210</v>
      </c>
      <c r="H15" s="16">
        <f>Specs!D11</f>
        <v>13</v>
      </c>
      <c r="I15" s="16">
        <f>Specs!E11</f>
        <v>1.2999999999999999E-2</v>
      </c>
      <c r="J15" s="16">
        <f>Specs!F11</f>
        <v>3</v>
      </c>
      <c r="K15" s="16">
        <f>Specs!G11</f>
        <v>5</v>
      </c>
      <c r="L15" s="16">
        <f>Specs!H11</f>
        <v>460</v>
      </c>
      <c r="M15" s="16">
        <f>Specs!I11</f>
        <v>130</v>
      </c>
    </row>
    <row r="16" spans="1:13" x14ac:dyDescent="0.25">
      <c r="A16" s="25" t="str">
        <f>Specs!A12</f>
        <v>Belladonna</v>
      </c>
      <c r="B16" s="25" t="str">
        <f>Specs!B12</f>
        <v>Italy</v>
      </c>
      <c r="C16" s="28">
        <v>113.09999999999984</v>
      </c>
      <c r="D16" s="28">
        <v>0</v>
      </c>
      <c r="E16" s="28">
        <v>66.900000000000134</v>
      </c>
      <c r="F16" s="26">
        <f t="shared" si="0"/>
        <v>179.99999999999997</v>
      </c>
      <c r="G16" s="26">
        <f>Specs!C12</f>
        <v>180</v>
      </c>
      <c r="H16" s="25">
        <f>Specs!D12</f>
        <v>14</v>
      </c>
      <c r="I16" s="25">
        <f>Specs!E12</f>
        <v>5.0000000000000001E-3</v>
      </c>
      <c r="J16" s="25">
        <f>Specs!F12</f>
        <v>3</v>
      </c>
      <c r="K16" s="25">
        <f>Specs!G12</f>
        <v>9</v>
      </c>
      <c r="L16" s="25">
        <f>Specs!H12</f>
        <v>505</v>
      </c>
      <c r="M16" s="25">
        <f>Specs!I12</f>
        <v>115</v>
      </c>
    </row>
    <row r="17" spans="1:6" x14ac:dyDescent="0.25">
      <c r="A17" s="16" t="s">
        <v>38</v>
      </c>
      <c r="B17" s="16" t="s">
        <v>37</v>
      </c>
      <c r="C17" s="17">
        <f>SUMPRODUCT(C$6:C$16,$L$6:$L$16)</f>
        <v>334398.50000000029</v>
      </c>
      <c r="D17" s="17">
        <f>SUMPRODUCT(D$6:D$16,$L$6:$L$16)</f>
        <v>369465.09090909106</v>
      </c>
      <c r="E17" s="17">
        <f>SUMPRODUCT(E$6:E$16,$L$6:$L$16)</f>
        <v>411554.74242424208</v>
      </c>
      <c r="F17" s="15"/>
    </row>
    <row r="18" spans="1:6" x14ac:dyDescent="0.25">
      <c r="B18" s="16" t="s">
        <v>8</v>
      </c>
      <c r="C18" s="17">
        <f>SUMPRODUCT(C$6:C$16,$M$6:$M$16)</f>
        <v>39402.499999999971</v>
      </c>
      <c r="D18" s="17">
        <f>SUMPRODUCT(D$6:D$16,$M$6:$M$16)</f>
        <v>34595.515151515167</v>
      </c>
      <c r="E18" s="17">
        <f>SUMPRODUCT(E$6:E$16,$M$6:$M$16)</f>
        <v>38143.651515151556</v>
      </c>
      <c r="F18" s="15"/>
    </row>
    <row r="19" spans="1:6" x14ac:dyDescent="0.25">
      <c r="A19" s="15" t="s">
        <v>43</v>
      </c>
    </row>
    <row r="20" spans="1:6" x14ac:dyDescent="0.25">
      <c r="A20" s="16" t="s">
        <v>39</v>
      </c>
      <c r="C20" s="16">
        <f>SUM(C6:C16)</f>
        <v>600.00000000000034</v>
      </c>
      <c r="D20" s="16">
        <f>SUM(D6:D16)</f>
        <v>600.00000000000034</v>
      </c>
      <c r="E20" s="16">
        <f>SUM(E6:E16)</f>
        <v>699.99999999999966</v>
      </c>
    </row>
    <row r="21" spans="1:6" x14ac:dyDescent="0.25">
      <c r="A21" s="16" t="s">
        <v>40</v>
      </c>
      <c r="C21" s="16">
        <v>600</v>
      </c>
      <c r="D21" s="16">
        <v>600</v>
      </c>
      <c r="E21" s="16">
        <v>700</v>
      </c>
    </row>
    <row r="23" spans="1:6" x14ac:dyDescent="0.25">
      <c r="A23" s="16" t="s">
        <v>41</v>
      </c>
      <c r="C23" s="16">
        <f>C8</f>
        <v>240.00000000000006</v>
      </c>
      <c r="D23" s="16">
        <f>D8</f>
        <v>240.00000000000009</v>
      </c>
      <c r="E23" s="16">
        <f>E8</f>
        <v>280</v>
      </c>
    </row>
    <row r="24" spans="1:6" x14ac:dyDescent="0.25">
      <c r="A24" s="16" t="s">
        <v>42</v>
      </c>
      <c r="C24" s="16">
        <f>C21*0.4</f>
        <v>240</v>
      </c>
      <c r="D24" s="16">
        <f>D21*0.4</f>
        <v>240</v>
      </c>
      <c r="E24" s="16">
        <f>E21*0.4</f>
        <v>280</v>
      </c>
    </row>
    <row r="26" spans="1:6" x14ac:dyDescent="0.25">
      <c r="A26" s="15" t="s">
        <v>44</v>
      </c>
      <c r="B26" s="16" t="s">
        <v>45</v>
      </c>
      <c r="F26" s="16" t="s">
        <v>50</v>
      </c>
    </row>
    <row r="27" spans="1:6" x14ac:dyDescent="0.25">
      <c r="A27" s="16" t="s">
        <v>46</v>
      </c>
      <c r="B27" s="16">
        <v>11.5</v>
      </c>
      <c r="C27" s="16">
        <f>SUMPRODUCT(C$6:C$16,$H$6:$H$16)/C$21</f>
        <v>11.65591666666667</v>
      </c>
      <c r="D27" s="16">
        <f>SUMPRODUCT(D$6:D$16,$H$6:$H$16)/D$21</f>
        <v>12.112181818181822</v>
      </c>
      <c r="E27" s="16">
        <f>SUMPRODUCT(E$6:E$16,$H$6:$H$16)/E$21</f>
        <v>11.544367965367963</v>
      </c>
      <c r="F27" s="16">
        <v>12.5</v>
      </c>
    </row>
    <row r="28" spans="1:6" x14ac:dyDescent="0.25">
      <c r="A28" s="16" t="s">
        <v>47</v>
      </c>
      <c r="B28" s="16">
        <v>7.4999999999999997E-3</v>
      </c>
      <c r="C28" s="16">
        <f>SUMPRODUCT(C$6:C$16,$I$6:$I$16)/C$21</f>
        <v>1.0000000000000002E-2</v>
      </c>
      <c r="D28" s="16">
        <f>SUMPRODUCT(D$6:D$16,$I$6:$I$16)/D$21</f>
        <v>1.0000000000000009E-2</v>
      </c>
      <c r="E28" s="16">
        <f>SUMPRODUCT(E$6:E$16,$I$6:$I$16)/E$21</f>
        <v>9.9999999999999967E-3</v>
      </c>
      <c r="F28" s="16">
        <v>0.01</v>
      </c>
    </row>
    <row r="29" spans="1:6" x14ac:dyDescent="0.25">
      <c r="A29" s="16" t="s">
        <v>48</v>
      </c>
      <c r="B29" s="16">
        <v>0</v>
      </c>
      <c r="C29" s="16">
        <f>SUMPRODUCT(C$6:C$16,$J$6:$J$16)/C$21</f>
        <v>4</v>
      </c>
      <c r="D29" s="16">
        <f>SUMPRODUCT(D$6:D$16,$J$6:$J$16)/D$21</f>
        <v>3.1788888888888951</v>
      </c>
      <c r="E29" s="16">
        <f>SUMPRODUCT(E$6:E$16,$J$6:$J$16)/E$21</f>
        <v>3.9999999999999987</v>
      </c>
      <c r="F29" s="16">
        <v>4</v>
      </c>
    </row>
    <row r="30" spans="1:6" x14ac:dyDescent="0.25">
      <c r="A30" s="16" t="s">
        <v>49</v>
      </c>
      <c r="B30" s="16">
        <v>4.5</v>
      </c>
      <c r="C30" s="16">
        <f>SUMPRODUCT(C$6:C$16,$K$6:$K$16)/C$21</f>
        <v>4.5000000000000009</v>
      </c>
      <c r="D30" s="16">
        <f>SUMPRODUCT(D$6:D$16,$K$6:$K$16)/D$21</f>
        <v>4.5000000000000027</v>
      </c>
      <c r="E30" s="16">
        <f>SUMPRODUCT(E$6:E$16,$K$6:$K$16)/E$21</f>
        <v>4.4999999999999982</v>
      </c>
      <c r="F30" s="16">
        <v>5.5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68A2-395F-48F4-91A6-E645CFB47F94}">
  <dimension ref="A1:M30"/>
  <sheetViews>
    <sheetView zoomScale="85" zoomScaleNormal="85" workbookViewId="0">
      <selection activeCell="B3" sqref="B3"/>
    </sheetView>
  </sheetViews>
  <sheetFormatPr defaultRowHeight="15.75" x14ac:dyDescent="0.25"/>
  <cols>
    <col min="1" max="1" width="20.625" style="16" customWidth="1"/>
    <col min="2" max="2" width="16.875" style="16" customWidth="1"/>
    <col min="3" max="5" width="14.125" style="16" bestFit="1" customWidth="1"/>
    <col min="6" max="6" width="18" style="16" customWidth="1"/>
    <col min="7" max="13" width="11" style="16" customWidth="1"/>
    <col min="14" max="16384" width="9" style="16"/>
  </cols>
  <sheetData>
    <row r="1" spans="1:13" x14ac:dyDescent="0.25">
      <c r="A1" s="15" t="s">
        <v>52</v>
      </c>
      <c r="B1" s="16" t="s">
        <v>53</v>
      </c>
      <c r="D1" t="s">
        <v>54</v>
      </c>
    </row>
    <row r="2" spans="1:13" x14ac:dyDescent="0.25">
      <c r="A2" s="17">
        <f>SUM(C17:E18)</f>
        <v>1170000</v>
      </c>
      <c r="B2" s="17">
        <v>1169999.9999999998</v>
      </c>
      <c r="D2" s="32">
        <f>AVERAGE(G27:G30)</f>
        <v>0.34765572951364454</v>
      </c>
    </row>
    <row r="4" spans="1:13" x14ac:dyDescent="0.25">
      <c r="A4" s="15" t="s">
        <v>32</v>
      </c>
      <c r="G4" s="23" t="s">
        <v>31</v>
      </c>
    </row>
    <row r="5" spans="1:13" s="18" customFormat="1" ht="47.25" customHeight="1" x14ac:dyDescent="0.25">
      <c r="A5" s="20" t="str">
        <f>Specs!A1</f>
        <v>Varietal</v>
      </c>
      <c r="B5" s="20" t="str">
        <f>Specs!B1</f>
        <v>Region</v>
      </c>
      <c r="C5" s="21" t="s">
        <v>33</v>
      </c>
      <c r="D5" s="21" t="s">
        <v>34</v>
      </c>
      <c r="E5" s="21" t="s">
        <v>35</v>
      </c>
      <c r="F5" s="22" t="s">
        <v>36</v>
      </c>
      <c r="G5" s="24" t="str">
        <f>Specs!C1</f>
        <v>Qty Available (1,000 Gallons)</v>
      </c>
      <c r="H5" s="20" t="str">
        <f>Specs!D1</f>
        <v>Brix / Acid Ratio</v>
      </c>
      <c r="I5" s="20" t="str">
        <f>Specs!E1</f>
        <v>Acid (%)</v>
      </c>
      <c r="J5" s="20" t="str">
        <f>Specs!F1</f>
        <v>Astringency (1-10 Scale)</v>
      </c>
      <c r="K5" s="20" t="str">
        <f>Specs!G1</f>
        <v>Color (1-10 Scale)</v>
      </c>
      <c r="L5" s="20" t="str">
        <f>Specs!H1</f>
        <v>Price (per 1K Gallons)</v>
      </c>
      <c r="M5" s="20" t="str">
        <f>Specs!I1</f>
        <v>Shipping</v>
      </c>
    </row>
    <row r="6" spans="1:13" x14ac:dyDescent="0.25">
      <c r="A6" s="16" t="str">
        <f>Specs!A2</f>
        <v>Hamlin</v>
      </c>
      <c r="B6" s="16" t="str">
        <f>Specs!B2</f>
        <v>Brazil</v>
      </c>
      <c r="C6" s="27">
        <v>79.292376510903409</v>
      </c>
      <c r="D6" s="27">
        <v>77.61968211668804</v>
      </c>
      <c r="E6" s="27">
        <v>90.556295802771814</v>
      </c>
      <c r="F6" s="30">
        <f>SUM(C6:E6)</f>
        <v>247.46835443036326</v>
      </c>
      <c r="G6" s="19">
        <f>Specs!C2</f>
        <v>672</v>
      </c>
      <c r="H6" s="16">
        <f>Specs!D2</f>
        <v>10.5</v>
      </c>
      <c r="I6" s="16">
        <f>Specs!E2</f>
        <v>6.0000000000000001E-3</v>
      </c>
      <c r="J6" s="16">
        <f>Specs!F2</f>
        <v>3</v>
      </c>
      <c r="K6" s="16">
        <f>Specs!G2</f>
        <v>3</v>
      </c>
      <c r="L6" s="16">
        <f>Specs!H2</f>
        <v>500</v>
      </c>
      <c r="M6" s="16">
        <f>Specs!I2</f>
        <v>100</v>
      </c>
    </row>
    <row r="7" spans="1:13" x14ac:dyDescent="0.25">
      <c r="A7" s="16" t="str">
        <f>Specs!A3</f>
        <v>Mosambi</v>
      </c>
      <c r="B7" s="16" t="str">
        <f>Specs!B3</f>
        <v>India</v>
      </c>
      <c r="C7" s="27">
        <v>73.488476354071508</v>
      </c>
      <c r="D7" s="27">
        <v>48.750206629120214</v>
      </c>
      <c r="E7" s="27">
        <v>56.875241067448862</v>
      </c>
      <c r="F7" s="30">
        <f t="shared" ref="F7:F16" si="0">SUM(C7:E7)</f>
        <v>179.11392405064058</v>
      </c>
      <c r="G7" s="19">
        <f>Specs!C3</f>
        <v>400</v>
      </c>
      <c r="H7" s="16">
        <f>Specs!D3</f>
        <v>6.5</v>
      </c>
      <c r="I7" s="16">
        <f>Specs!E3</f>
        <v>1.4E-2</v>
      </c>
      <c r="J7" s="16">
        <f>Specs!F3</f>
        <v>7</v>
      </c>
      <c r="K7" s="16">
        <f>Specs!G3</f>
        <v>1</v>
      </c>
      <c r="L7" s="16">
        <f>Specs!H3</f>
        <v>310</v>
      </c>
      <c r="M7" s="16">
        <f>Specs!I3</f>
        <v>150</v>
      </c>
    </row>
    <row r="8" spans="1:13" x14ac:dyDescent="0.25">
      <c r="A8" s="16" t="str">
        <f>Specs!A4</f>
        <v>Valencia</v>
      </c>
      <c r="B8" s="16" t="str">
        <f>Specs!B4</f>
        <v>Florida</v>
      </c>
      <c r="C8" s="27">
        <v>239.99999999999994</v>
      </c>
      <c r="D8" s="27">
        <v>240</v>
      </c>
      <c r="E8" s="27">
        <v>279.99999999999994</v>
      </c>
      <c r="F8" s="30">
        <f t="shared" si="0"/>
        <v>759.99999999999989</v>
      </c>
      <c r="G8" s="19">
        <f>Specs!C4</f>
        <v>1200</v>
      </c>
      <c r="H8" s="16">
        <f>Specs!D4</f>
        <v>12</v>
      </c>
      <c r="I8" s="16">
        <f>Specs!E4</f>
        <v>9.4999999999999998E-3</v>
      </c>
      <c r="J8" s="16">
        <f>Specs!F4</f>
        <v>3</v>
      </c>
      <c r="K8" s="16">
        <f>Specs!G4</f>
        <v>3</v>
      </c>
      <c r="L8" s="16">
        <f>Specs!H4</f>
        <v>750</v>
      </c>
      <c r="M8" s="16">
        <f>Specs!I4</f>
        <v>0</v>
      </c>
    </row>
    <row r="9" spans="1:13" x14ac:dyDescent="0.25">
      <c r="A9" s="16" t="str">
        <f>Specs!A5</f>
        <v>Hamlin</v>
      </c>
      <c r="B9" s="16" t="str">
        <f>Specs!B5</f>
        <v>California</v>
      </c>
      <c r="C9" s="27">
        <v>0</v>
      </c>
      <c r="D9" s="27">
        <v>0</v>
      </c>
      <c r="E9" s="27">
        <v>0</v>
      </c>
      <c r="F9" s="30">
        <f t="shared" si="0"/>
        <v>0</v>
      </c>
      <c r="G9" s="19">
        <f>Specs!C5</f>
        <v>168</v>
      </c>
      <c r="H9" s="16">
        <f>Specs!D5</f>
        <v>11</v>
      </c>
      <c r="I9" s="16">
        <f>Specs!E5</f>
        <v>0.01</v>
      </c>
      <c r="J9" s="16">
        <f>Specs!F5</f>
        <v>3</v>
      </c>
      <c r="K9" s="16">
        <f>Specs!G5</f>
        <v>5</v>
      </c>
      <c r="L9" s="16">
        <f>Specs!H5</f>
        <v>600</v>
      </c>
      <c r="M9" s="16">
        <f>Specs!I5</f>
        <v>60</v>
      </c>
    </row>
    <row r="10" spans="1:13" x14ac:dyDescent="0.25">
      <c r="A10" s="16" t="str">
        <f>Specs!A6</f>
        <v>Gardner</v>
      </c>
      <c r="B10" s="16" t="str">
        <f>Specs!B6</f>
        <v>Arizona</v>
      </c>
      <c r="C10" s="27">
        <v>0</v>
      </c>
      <c r="D10" s="27">
        <v>0</v>
      </c>
      <c r="E10" s="27">
        <v>0</v>
      </c>
      <c r="F10" s="30">
        <f t="shared" si="0"/>
        <v>0</v>
      </c>
      <c r="G10" s="19">
        <f>Specs!C6</f>
        <v>84</v>
      </c>
      <c r="H10" s="16">
        <f>Specs!D6</f>
        <v>12</v>
      </c>
      <c r="I10" s="16">
        <f>Specs!E6</f>
        <v>7.0000000000000001E-3</v>
      </c>
      <c r="J10" s="16">
        <f>Specs!F6</f>
        <v>1</v>
      </c>
      <c r="K10" s="16">
        <f>Specs!G6</f>
        <v>5</v>
      </c>
      <c r="L10" s="16">
        <f>Specs!H6</f>
        <v>600</v>
      </c>
      <c r="M10" s="16">
        <f>Specs!I6</f>
        <v>75</v>
      </c>
    </row>
    <row r="11" spans="1:13" x14ac:dyDescent="0.25">
      <c r="A11" s="16" t="str">
        <f>Specs!A7</f>
        <v>Sunstar</v>
      </c>
      <c r="B11" s="16" t="str">
        <f>Specs!B7</f>
        <v>Texas</v>
      </c>
      <c r="C11" s="27">
        <v>0</v>
      </c>
      <c r="D11" s="27">
        <v>0</v>
      </c>
      <c r="E11" s="27">
        <v>0</v>
      </c>
      <c r="F11" s="30">
        <f t="shared" si="0"/>
        <v>0</v>
      </c>
      <c r="G11" s="19">
        <f>Specs!C7</f>
        <v>210</v>
      </c>
      <c r="H11" s="16">
        <f>Specs!D7</f>
        <v>10</v>
      </c>
      <c r="I11" s="16">
        <f>Specs!E7</f>
        <v>7.0000000000000001E-3</v>
      </c>
      <c r="J11" s="16">
        <f>Specs!F7</f>
        <v>1</v>
      </c>
      <c r="K11" s="16">
        <f>Specs!G7</f>
        <v>5</v>
      </c>
      <c r="L11" s="16">
        <f>Specs!H7</f>
        <v>625</v>
      </c>
      <c r="M11" s="16">
        <f>Specs!I7</f>
        <v>50</v>
      </c>
    </row>
    <row r="12" spans="1:13" x14ac:dyDescent="0.25">
      <c r="A12" s="16" t="str">
        <f>Specs!A8</f>
        <v>Jincheng</v>
      </c>
      <c r="B12" s="16" t="str">
        <f>Specs!B8</f>
        <v>China</v>
      </c>
      <c r="C12" s="27">
        <v>0</v>
      </c>
      <c r="D12" s="27">
        <v>0</v>
      </c>
      <c r="E12" s="27">
        <v>0</v>
      </c>
      <c r="F12" s="30">
        <f t="shared" si="0"/>
        <v>0</v>
      </c>
      <c r="G12" s="19">
        <f>Specs!C8</f>
        <v>588</v>
      </c>
      <c r="H12" s="16">
        <f>Specs!D8</f>
        <v>9</v>
      </c>
      <c r="I12" s="16">
        <f>Specs!E8</f>
        <v>1.35E-2</v>
      </c>
      <c r="J12" s="16">
        <f>Specs!F8</f>
        <v>7</v>
      </c>
      <c r="K12" s="16">
        <f>Specs!G8</f>
        <v>3</v>
      </c>
      <c r="L12" s="16">
        <f>Specs!H8</f>
        <v>440</v>
      </c>
      <c r="M12" s="16">
        <f>Specs!I8</f>
        <v>120</v>
      </c>
    </row>
    <row r="13" spans="1:13" x14ac:dyDescent="0.25">
      <c r="A13" s="16" t="str">
        <f>Specs!A9</f>
        <v>Berna</v>
      </c>
      <c r="B13" s="16" t="str">
        <f>Specs!B9</f>
        <v>Spain</v>
      </c>
      <c r="C13" s="27">
        <v>23.417721518995933</v>
      </c>
      <c r="D13" s="27">
        <v>0</v>
      </c>
      <c r="E13" s="27">
        <v>0</v>
      </c>
      <c r="F13" s="30">
        <f t="shared" si="0"/>
        <v>23.417721518995933</v>
      </c>
      <c r="G13" s="19">
        <f>Specs!C9</f>
        <v>168</v>
      </c>
      <c r="H13" s="16">
        <f>Specs!D9</f>
        <v>15</v>
      </c>
      <c r="I13" s="16">
        <f>Specs!E9</f>
        <v>1.0999999999999999E-2</v>
      </c>
      <c r="J13" s="16">
        <f>Specs!F9</f>
        <v>4</v>
      </c>
      <c r="K13" s="16">
        <f>Specs!G9</f>
        <v>8</v>
      </c>
      <c r="L13" s="16">
        <f>Specs!H9</f>
        <v>600</v>
      </c>
      <c r="M13" s="16">
        <f>Specs!I9</f>
        <v>110</v>
      </c>
    </row>
    <row r="14" spans="1:13" x14ac:dyDescent="0.25">
      <c r="A14" s="16" t="str">
        <f>Specs!A10</f>
        <v>Verna</v>
      </c>
      <c r="B14" s="16" t="str">
        <f>Specs!B10</f>
        <v>Mexico</v>
      </c>
      <c r="C14" s="27">
        <v>77.991364153256114</v>
      </c>
      <c r="D14" s="27">
        <v>102.46552423701641</v>
      </c>
      <c r="E14" s="27">
        <v>119.54311160972769</v>
      </c>
      <c r="F14" s="30">
        <f t="shared" si="0"/>
        <v>300.00000000000023</v>
      </c>
      <c r="G14" s="19">
        <f>Specs!C10</f>
        <v>300</v>
      </c>
      <c r="H14" s="16">
        <f>Specs!D10</f>
        <v>8</v>
      </c>
      <c r="I14" s="16">
        <f>Specs!E10</f>
        <v>1.2999999999999999E-2</v>
      </c>
      <c r="J14" s="16">
        <f>Specs!F10</f>
        <v>8</v>
      </c>
      <c r="K14" s="16">
        <f>Specs!G10</f>
        <v>3</v>
      </c>
      <c r="L14" s="16">
        <f>Specs!H10</f>
        <v>300</v>
      </c>
      <c r="M14" s="16">
        <f>Specs!I10</f>
        <v>90</v>
      </c>
    </row>
    <row r="15" spans="1:13" x14ac:dyDescent="0.25">
      <c r="A15" s="16" t="str">
        <f>Specs!A11</f>
        <v>Biondo Commune</v>
      </c>
      <c r="B15" s="16" t="str">
        <f>Specs!B11</f>
        <v>Egypt</v>
      </c>
      <c r="C15" s="27">
        <v>51.859261745310626</v>
      </c>
      <c r="D15" s="27">
        <v>72.98803304064586</v>
      </c>
      <c r="E15" s="27">
        <v>85.152705214043749</v>
      </c>
      <c r="F15" s="30">
        <f t="shared" si="0"/>
        <v>210.00000000000023</v>
      </c>
      <c r="G15" s="19">
        <f>Specs!C11</f>
        <v>210</v>
      </c>
      <c r="H15" s="16">
        <f>Specs!D11</f>
        <v>13</v>
      </c>
      <c r="I15" s="16">
        <f>Specs!E11</f>
        <v>1.2999999999999999E-2</v>
      </c>
      <c r="J15" s="16">
        <f>Specs!F11</f>
        <v>3</v>
      </c>
      <c r="K15" s="16">
        <f>Specs!G11</f>
        <v>5</v>
      </c>
      <c r="L15" s="16">
        <f>Specs!H11</f>
        <v>460</v>
      </c>
      <c r="M15" s="16">
        <f>Specs!I11</f>
        <v>130</v>
      </c>
    </row>
    <row r="16" spans="1:13" x14ac:dyDescent="0.25">
      <c r="A16" s="25" t="str">
        <f>Specs!A12</f>
        <v>Belladonna</v>
      </c>
      <c r="B16" s="25" t="str">
        <f>Specs!B12</f>
        <v>Italy</v>
      </c>
      <c r="C16" s="28">
        <v>53.950799717462836</v>
      </c>
      <c r="D16" s="28">
        <v>58.176553976529263</v>
      </c>
      <c r="E16" s="28">
        <v>67.872646306007908</v>
      </c>
      <c r="F16" s="31">
        <f t="shared" si="0"/>
        <v>180</v>
      </c>
      <c r="G16" s="26">
        <f>Specs!C12</f>
        <v>180</v>
      </c>
      <c r="H16" s="25">
        <f>Specs!D12</f>
        <v>14</v>
      </c>
      <c r="I16" s="25">
        <f>Specs!E12</f>
        <v>5.0000000000000001E-3</v>
      </c>
      <c r="J16" s="25">
        <f>Specs!F12</f>
        <v>3</v>
      </c>
      <c r="K16" s="25">
        <f>Specs!G12</f>
        <v>9</v>
      </c>
      <c r="L16" s="25">
        <f>Specs!H12</f>
        <v>505</v>
      </c>
      <c r="M16" s="25">
        <f>Specs!I12</f>
        <v>115</v>
      </c>
    </row>
    <row r="17" spans="1:9" x14ac:dyDescent="0.25">
      <c r="A17" s="16" t="s">
        <v>38</v>
      </c>
      <c r="B17" s="16" t="s">
        <v>37</v>
      </c>
      <c r="C17" s="17">
        <f>SUMPRODUCT(C$6:C$16,$L$6:$L$16)</f>
        <v>330976.07234274986</v>
      </c>
      <c r="D17" s="17">
        <f>SUMPRODUCT(D$6:D$16,$L$6:$L$16)</f>
        <v>327615.71734132053</v>
      </c>
      <c r="E17" s="17">
        <f>SUMPRODUCT(E$6:E$16,$L$6:$L$16)</f>
        <v>382218.33689820749</v>
      </c>
      <c r="F17" s="15"/>
    </row>
    <row r="18" spans="1:9" x14ac:dyDescent="0.25">
      <c r="B18" s="16" t="s">
        <v>8</v>
      </c>
      <c r="C18" s="17">
        <f>SUMPRODUCT(C$6:C$16,$M$6:$M$16)</f>
        <v>41493.727239482279</v>
      </c>
      <c r="D18" s="17">
        <f>SUMPRODUCT(D$6:D$16,$M$6:$M$16)</f>
        <v>40475.144389953137</v>
      </c>
      <c r="E18" s="17">
        <f>SUMPRODUCT(E$6:E$16,$M$6:$M$16)</f>
        <v>47221.001788286601</v>
      </c>
      <c r="F18" s="15"/>
    </row>
    <row r="19" spans="1:9" x14ac:dyDescent="0.25">
      <c r="A19" s="15" t="s">
        <v>43</v>
      </c>
    </row>
    <row r="20" spans="1:9" x14ac:dyDescent="0.25">
      <c r="A20" s="16" t="s">
        <v>39</v>
      </c>
      <c r="C20" s="16">
        <f>SUM(C6:C16)</f>
        <v>600.00000000000034</v>
      </c>
      <c r="D20" s="16">
        <f>SUM(D6:D16)</f>
        <v>599.99999999999977</v>
      </c>
      <c r="E20" s="16">
        <f>SUM(E6:E16)</f>
        <v>700</v>
      </c>
    </row>
    <row r="21" spans="1:9" x14ac:dyDescent="0.25">
      <c r="A21" s="16" t="s">
        <v>40</v>
      </c>
      <c r="C21" s="16">
        <v>600</v>
      </c>
      <c r="D21" s="16">
        <v>600</v>
      </c>
      <c r="E21" s="16">
        <v>700</v>
      </c>
    </row>
    <row r="23" spans="1:9" x14ac:dyDescent="0.25">
      <c r="A23" s="16" t="s">
        <v>41</v>
      </c>
      <c r="C23" s="16">
        <f>C8</f>
        <v>239.99999999999994</v>
      </c>
      <c r="D23" s="16">
        <f>D8</f>
        <v>240</v>
      </c>
      <c r="E23" s="16">
        <f>E8</f>
        <v>279.99999999999994</v>
      </c>
    </row>
    <row r="24" spans="1:9" x14ac:dyDescent="0.25">
      <c r="A24" s="16" t="s">
        <v>42</v>
      </c>
      <c r="C24" s="16">
        <f>C21*0.4</f>
        <v>240</v>
      </c>
      <c r="D24" s="16">
        <f>D21*0.4</f>
        <v>240</v>
      </c>
      <c r="E24" s="16">
        <f>E21*0.4</f>
        <v>280</v>
      </c>
    </row>
    <row r="25" spans="1:9" x14ac:dyDescent="0.25">
      <c r="F25" s="15"/>
      <c r="G25" s="29"/>
    </row>
    <row r="26" spans="1:9" x14ac:dyDescent="0.25">
      <c r="A26" s="15" t="s">
        <v>44</v>
      </c>
      <c r="B26" s="16" t="s">
        <v>45</v>
      </c>
      <c r="F26" s="16" t="s">
        <v>50</v>
      </c>
      <c r="G26" s="29" t="s">
        <v>51</v>
      </c>
      <c r="H26" s="16" t="str">
        <f>B26</f>
        <v>Minimum</v>
      </c>
      <c r="I26" s="16" t="str">
        <f>F26</f>
        <v>Maximum</v>
      </c>
    </row>
    <row r="27" spans="1:9" x14ac:dyDescent="0.25">
      <c r="A27" s="16" t="s">
        <v>46</v>
      </c>
      <c r="B27" s="27">
        <f>H27-G27*(I27-H27)</f>
        <v>10.991538974017374</v>
      </c>
      <c r="C27" s="27">
        <f>SUMPRODUCT(C$6:C$16,$H$6:$H$16)/C$21</f>
        <v>10.991538974017425</v>
      </c>
      <c r="D27" s="27">
        <f>SUMPRODUCT(D$6:D$16,$H$6:$H$16)/D$21</f>
        <v>10.991538974017404</v>
      </c>
      <c r="E27" s="27">
        <f>SUMPRODUCT(E$6:E$16,$H$6:$H$16)/E$21</f>
        <v>10.991538974017171</v>
      </c>
      <c r="F27" s="27">
        <f>I27+G27*(I27-H27)</f>
        <v>13.008461025982626</v>
      </c>
      <c r="G27" s="29">
        <v>0.50846102598262577</v>
      </c>
      <c r="H27" s="16">
        <v>11.5</v>
      </c>
      <c r="I27" s="16">
        <v>12.5</v>
      </c>
    </row>
    <row r="28" spans="1:9" x14ac:dyDescent="0.25">
      <c r="A28" s="16" t="s">
        <v>47</v>
      </c>
      <c r="B28" s="27">
        <f t="shared" ref="B28:B30" si="1">H28-G28*(I28-H28)</f>
        <v>7.4999999999999997E-3</v>
      </c>
      <c r="C28" s="27">
        <f>SUMPRODUCT(C$6:C$16,$I$6:$I$16)/C$21</f>
        <v>1.0000000000000094E-2</v>
      </c>
      <c r="D28" s="27">
        <f>SUMPRODUCT(D$6:D$16,$I$6:$I$16)/D$21</f>
        <v>1.0000000000000111E-2</v>
      </c>
      <c r="E28" s="27">
        <f>SUMPRODUCT(E$6:E$16,$I$6:$I$16)/E$21</f>
        <v>9.9999999999999742E-3</v>
      </c>
      <c r="F28" s="27">
        <f t="shared" ref="F28:F30" si="2">I28+G28*(I28-H28)</f>
        <v>0.01</v>
      </c>
      <c r="G28" s="29">
        <v>0</v>
      </c>
      <c r="H28" s="16">
        <v>7.4999999999999997E-3</v>
      </c>
      <c r="I28" s="16">
        <v>0.01</v>
      </c>
    </row>
    <row r="29" spans="1:9" x14ac:dyDescent="0.25">
      <c r="A29" s="16" t="s">
        <v>48</v>
      </c>
      <c r="B29" s="27">
        <f t="shared" si="1"/>
        <v>-0.17888074616924429</v>
      </c>
      <c r="C29" s="27">
        <f>SUMPRODUCT(C$6:C$16,$J$6:$J$16)/C$21</f>
        <v>4.1788807461692716</v>
      </c>
      <c r="D29" s="27">
        <f>SUMPRODUCT(D$6:D$16,$J$6:$J$16)/D$21</f>
        <v>4.1788807461692707</v>
      </c>
      <c r="E29" s="27">
        <f>SUMPRODUCT(E$6:E$16,$J$6:$J$16)/E$21</f>
        <v>4.1788807461691908</v>
      </c>
      <c r="F29" s="27">
        <f t="shared" si="2"/>
        <v>4.1788807461692441</v>
      </c>
      <c r="G29" s="29">
        <v>4.4720186542311073E-2</v>
      </c>
      <c r="H29" s="16">
        <v>0</v>
      </c>
      <c r="I29" s="16">
        <v>4</v>
      </c>
    </row>
    <row r="30" spans="1:9" x14ac:dyDescent="0.25">
      <c r="A30" s="16" t="s">
        <v>49</v>
      </c>
      <c r="B30" s="27">
        <f t="shared" si="1"/>
        <v>3.6625582944703585</v>
      </c>
      <c r="C30" s="27">
        <f>SUMPRODUCT(C$6:C$16,$K$6:$K$16)/C$21</f>
        <v>3.6625582944703932</v>
      </c>
      <c r="D30" s="27">
        <f>SUMPRODUCT(D$6:D$16,$K$6:$K$16)/D$21</f>
        <v>3.6625582944703767</v>
      </c>
      <c r="E30" s="27">
        <f>SUMPRODUCT(E$6:E$16,$K$6:$K$16)/E$21</f>
        <v>3.662558294470339</v>
      </c>
      <c r="F30" s="27">
        <f t="shared" si="2"/>
        <v>6.3374417055296419</v>
      </c>
      <c r="G30" s="29">
        <v>0.83744170552964148</v>
      </c>
      <c r="H30" s="16">
        <v>4.5</v>
      </c>
      <c r="I30" s="16">
        <v>5.5</v>
      </c>
    </row>
  </sheetData>
  <conditionalFormatting sqref="C6:E16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5F60-3B9C-4FB9-A680-8D3D4A0F9CC9}">
  <dimension ref="A1:C9"/>
  <sheetViews>
    <sheetView tabSelected="1" zoomScale="85" zoomScaleNormal="85" workbookViewId="0">
      <selection activeCell="R12" sqref="R12"/>
    </sheetView>
  </sheetViews>
  <sheetFormatPr defaultRowHeight="15.75" x14ac:dyDescent="0.25"/>
  <cols>
    <col min="1" max="1" width="15.25" style="1" bestFit="1" customWidth="1"/>
    <col min="2" max="2" width="9.25" style="1" bestFit="1" customWidth="1"/>
    <col min="3" max="3" width="10.375" style="36" bestFit="1" customWidth="1"/>
    <col min="4" max="16384" width="9" style="1"/>
  </cols>
  <sheetData>
    <row r="1" spans="1:3" x14ac:dyDescent="0.25">
      <c r="A1" s="1" t="s">
        <v>53</v>
      </c>
      <c r="B1" s="1" t="s">
        <v>44</v>
      </c>
      <c r="C1" s="35" t="s">
        <v>51</v>
      </c>
    </row>
    <row r="2" spans="1:3" x14ac:dyDescent="0.25">
      <c r="A2" s="33">
        <v>1227000</v>
      </c>
      <c r="B2" s="36">
        <f>1-C2</f>
        <v>1</v>
      </c>
      <c r="C2" s="36">
        <v>0</v>
      </c>
    </row>
    <row r="3" spans="1:3" x14ac:dyDescent="0.25">
      <c r="A3" s="34">
        <f>A2-20000</f>
        <v>1207000</v>
      </c>
      <c r="B3" s="36">
        <f t="shared" ref="B3:B8" si="0">1-C3</f>
        <v>0.93700000000000006</v>
      </c>
      <c r="C3" s="36">
        <v>6.3E-2</v>
      </c>
    </row>
    <row r="4" spans="1:3" x14ac:dyDescent="0.25">
      <c r="A4" s="34">
        <f>A3-20000</f>
        <v>1187000</v>
      </c>
      <c r="B4" s="36">
        <f t="shared" si="0"/>
        <v>0.80699999999999994</v>
      </c>
      <c r="C4" s="36">
        <v>0.193</v>
      </c>
    </row>
    <row r="5" spans="1:3" x14ac:dyDescent="0.25">
      <c r="A5" s="34">
        <v>1170000</v>
      </c>
      <c r="B5" s="36">
        <f t="shared" si="0"/>
        <v>0.65200000000000002</v>
      </c>
      <c r="C5" s="36">
        <v>0.34799999999999998</v>
      </c>
    </row>
    <row r="6" spans="1:3" x14ac:dyDescent="0.25">
      <c r="A6" s="34">
        <f>A4-20000</f>
        <v>1167000</v>
      </c>
      <c r="B6" s="36">
        <f t="shared" si="0"/>
        <v>0.625</v>
      </c>
      <c r="C6" s="36">
        <v>0.375</v>
      </c>
    </row>
    <row r="7" spans="1:3" x14ac:dyDescent="0.25">
      <c r="A7" s="34">
        <v>1147000</v>
      </c>
      <c r="B7" s="36">
        <f t="shared" si="0"/>
        <v>0.43400000000000005</v>
      </c>
      <c r="C7" s="36">
        <v>0.56599999999999995</v>
      </c>
    </row>
    <row r="8" spans="1:3" x14ac:dyDescent="0.25">
      <c r="A8" s="34">
        <f>A7-20000</f>
        <v>1127000</v>
      </c>
      <c r="B8" s="36">
        <f t="shared" si="0"/>
        <v>5.8000000000000052E-2</v>
      </c>
      <c r="C8" s="36">
        <v>0.94199999999999995</v>
      </c>
    </row>
    <row r="9" spans="1:3" x14ac:dyDescent="0.25">
      <c r="A9" s="34"/>
      <c r="B9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Specs</vt:lpstr>
      <vt:lpstr>OptMdl</vt:lpstr>
      <vt:lpstr>RlxQlty</vt:lpstr>
      <vt:lpstr>Frontier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brownbull</dc:creator>
  <cp:lastModifiedBy>brownbull</cp:lastModifiedBy>
  <dcterms:created xsi:type="dcterms:W3CDTF">2020-07-01T23:34:28Z</dcterms:created>
  <dcterms:modified xsi:type="dcterms:W3CDTF">2020-07-02T01:47:15Z</dcterms:modified>
</cp:coreProperties>
</file>