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 codeName="ThisWorkbook"/>
  <xr:revisionPtr revIDLastSave="23" documentId="11_DF1AE45F340896474A3396BA02717489F4E60FED" xr6:coauthVersionLast="47" xr6:coauthVersionMax="47" xr10:uidLastSave="{0560A38A-2DAC-4B1A-852C-961C5FD4D9B0}"/>
  <bookViews>
    <workbookView xWindow="-110" yWindow="-110" windowWidth="19420" windowHeight="11500" xr2:uid="{00000000-000D-0000-FFFF-FFFF00000000}"/>
  </bookViews>
  <sheets>
    <sheet name="Final" sheetId="23" r:id="rId1"/>
  </sheets>
  <definedNames>
    <definedName name="_xlnm._FilterDatabase" localSheetId="0" hidden="1">Final!$N$1:$R$229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17" i="23" l="1"/>
  <c r="AE116" i="23"/>
  <c r="AD117" i="23"/>
  <c r="AD116" i="23"/>
  <c r="T120" i="23" l="1"/>
  <c r="T121" i="23"/>
  <c r="AE127" i="23" l="1"/>
  <c r="AE126" i="23"/>
  <c r="AE125" i="23"/>
  <c r="AE124" i="23"/>
  <c r="AE123" i="23"/>
  <c r="AE122" i="23"/>
  <c r="AE121" i="23"/>
  <c r="AE120" i="23"/>
  <c r="AE119" i="23"/>
  <c r="AE118" i="23"/>
  <c r="AE115" i="23"/>
  <c r="AE114" i="23"/>
  <c r="AE77" i="23"/>
  <c r="AE76" i="23"/>
  <c r="AE75" i="23"/>
  <c r="AE74" i="23"/>
  <c r="AE73" i="23"/>
  <c r="AE72" i="23"/>
  <c r="AE71" i="23"/>
  <c r="AE70" i="23"/>
  <c r="AE69" i="23"/>
  <c r="AE68" i="23"/>
  <c r="AE67" i="23"/>
  <c r="AE66" i="23"/>
  <c r="AE65" i="23"/>
  <c r="AE64" i="23"/>
  <c r="AE63" i="23"/>
  <c r="AE62" i="23"/>
  <c r="AE61" i="23"/>
  <c r="AE60" i="23"/>
  <c r="AE59" i="23"/>
  <c r="AE58" i="23"/>
  <c r="AE57" i="23"/>
  <c r="AE56" i="23"/>
  <c r="AE53" i="23"/>
  <c r="AE52" i="23"/>
  <c r="AE51" i="23"/>
  <c r="AE50" i="23"/>
  <c r="AE49" i="23"/>
  <c r="AE48" i="23"/>
  <c r="AE47" i="23"/>
  <c r="AE46" i="23"/>
  <c r="AE43" i="23"/>
  <c r="AE42" i="23"/>
  <c r="AE41" i="23"/>
  <c r="AE40" i="23"/>
  <c r="AE39" i="23"/>
  <c r="AE38" i="23"/>
  <c r="AE37" i="23"/>
  <c r="AE36" i="23"/>
  <c r="AE35" i="23"/>
  <c r="AE34" i="23"/>
  <c r="AE33" i="23"/>
  <c r="AE32" i="23"/>
  <c r="AE29" i="23"/>
  <c r="AE28" i="23"/>
  <c r="AE27" i="23"/>
  <c r="AE26" i="23"/>
  <c r="AE25" i="23"/>
  <c r="AE24" i="23"/>
  <c r="AE23" i="23"/>
  <c r="AE22" i="23"/>
  <c r="AE21" i="23"/>
  <c r="AE20" i="23"/>
  <c r="AE19" i="23"/>
  <c r="AE18" i="23"/>
  <c r="AE17" i="23"/>
  <c r="AE16" i="23"/>
  <c r="AE15" i="23"/>
  <c r="AE14" i="23"/>
  <c r="AE13" i="23"/>
  <c r="AE12" i="23"/>
  <c r="AE11" i="23"/>
  <c r="AE10" i="23"/>
  <c r="AE9" i="23"/>
  <c r="AE8" i="23"/>
  <c r="AE7" i="23"/>
  <c r="AE6" i="23"/>
  <c r="AE5" i="23"/>
  <c r="AE4" i="23"/>
  <c r="AE3" i="23"/>
  <c r="AE2" i="23"/>
  <c r="AE200" i="23"/>
  <c r="AE198" i="23"/>
  <c r="AE187" i="23"/>
  <c r="AE186" i="23"/>
  <c r="AE184" i="23"/>
  <c r="AE183" i="23"/>
  <c r="AE182" i="23"/>
  <c r="AE177" i="23"/>
  <c r="AE176" i="23"/>
  <c r="AE175" i="23"/>
  <c r="AE174" i="23"/>
  <c r="AE171" i="23"/>
  <c r="AE170" i="23"/>
  <c r="AE168" i="23"/>
  <c r="AE164" i="23"/>
  <c r="AE160" i="23"/>
  <c r="AE163" i="23"/>
  <c r="AE162" i="23"/>
  <c r="AE192" i="23"/>
  <c r="AE191" i="23"/>
  <c r="AE190" i="23"/>
  <c r="AE189" i="23"/>
  <c r="AE188" i="23"/>
  <c r="AE181" i="23"/>
  <c r="AE180" i="23"/>
  <c r="AD2" i="23" l="1"/>
  <c r="AF2" i="23" l="1"/>
  <c r="AD3" i="23"/>
  <c r="AF3" i="23"/>
  <c r="AF4" i="23"/>
  <c r="AD4" i="23"/>
  <c r="AF5" i="23"/>
  <c r="AD5" i="23"/>
  <c r="AF6" i="23"/>
  <c r="AD6" i="23"/>
  <c r="AF7" i="23"/>
  <c r="AD7" i="23"/>
  <c r="AF8" i="23"/>
  <c r="AD8" i="23"/>
  <c r="AF9" i="23"/>
  <c r="AD9" i="23"/>
  <c r="AF10" i="23"/>
  <c r="AD10" i="23"/>
  <c r="AF11" i="23"/>
  <c r="AD11" i="23"/>
  <c r="AF12" i="23"/>
  <c r="AD12" i="23"/>
  <c r="AF13" i="23"/>
  <c r="AD13" i="23"/>
  <c r="AF14" i="23"/>
  <c r="AD14" i="23"/>
  <c r="AF15" i="23"/>
  <c r="AD15" i="23"/>
  <c r="AF16" i="23"/>
  <c r="AD16" i="23"/>
  <c r="AF17" i="23"/>
  <c r="AD17" i="23"/>
  <c r="AF18" i="23"/>
  <c r="AD18" i="23"/>
  <c r="AF19" i="23"/>
  <c r="AD19" i="23"/>
  <c r="AF20" i="23"/>
  <c r="AD20" i="23"/>
  <c r="AF21" i="23"/>
  <c r="AD21" i="23"/>
  <c r="AF22" i="23"/>
  <c r="AD22" i="23"/>
  <c r="AF23" i="23"/>
  <c r="AD23" i="23"/>
  <c r="AF25" i="23"/>
  <c r="AF24" i="23"/>
  <c r="AD24" i="23"/>
  <c r="AD25" i="23"/>
  <c r="AF26" i="23"/>
  <c r="AD26" i="23"/>
  <c r="AF27" i="23"/>
  <c r="AD27" i="23"/>
  <c r="AF28" i="23"/>
  <c r="AD28" i="23"/>
  <c r="AF29" i="23"/>
  <c r="AD29" i="23"/>
  <c r="AF32" i="23"/>
  <c r="AD32" i="23"/>
  <c r="AF33" i="23"/>
  <c r="AD33" i="23"/>
  <c r="AF34" i="23"/>
  <c r="AD34" i="23"/>
  <c r="AD35" i="23"/>
  <c r="AD36" i="23"/>
  <c r="AD37" i="23"/>
  <c r="AF38" i="23"/>
  <c r="AD38" i="23"/>
  <c r="AF39" i="23"/>
  <c r="AD39" i="23"/>
  <c r="AF40" i="23"/>
  <c r="AD40" i="23"/>
  <c r="AF41" i="23"/>
  <c r="AD41" i="23"/>
  <c r="AF42" i="23"/>
  <c r="AD42" i="23"/>
  <c r="AD43" i="23"/>
  <c r="AF43" i="23"/>
  <c r="AF46" i="23"/>
  <c r="AD46" i="23"/>
  <c r="AF47" i="23"/>
  <c r="AD47" i="23"/>
  <c r="AF48" i="23"/>
  <c r="AD48" i="23"/>
  <c r="AF49" i="23"/>
  <c r="AD49" i="23"/>
  <c r="AF50" i="23"/>
  <c r="AD50" i="23"/>
  <c r="AF51" i="23"/>
  <c r="AD51" i="23"/>
  <c r="AF52" i="23"/>
  <c r="AD52" i="23"/>
  <c r="AF53" i="23"/>
  <c r="AD53" i="23"/>
  <c r="AD56" i="23"/>
  <c r="AD57" i="23"/>
  <c r="AF59" i="23"/>
  <c r="AF58" i="23"/>
  <c r="AD58" i="23"/>
  <c r="AD59" i="23"/>
  <c r="AF60" i="23"/>
  <c r="AD60" i="23"/>
  <c r="AF61" i="23"/>
  <c r="AD61" i="23"/>
  <c r="AF62" i="23"/>
  <c r="AD62" i="23"/>
  <c r="AF63" i="23"/>
  <c r="AD63" i="23"/>
  <c r="AF64" i="23"/>
  <c r="AD64" i="23"/>
  <c r="AF65" i="23"/>
  <c r="AD65" i="23"/>
  <c r="AF66" i="23"/>
  <c r="AD66" i="23"/>
  <c r="AF67" i="23"/>
  <c r="AD67" i="23"/>
  <c r="AF68" i="23"/>
  <c r="AD68" i="23"/>
  <c r="AF69" i="23"/>
  <c r="AD69" i="23"/>
  <c r="AD70" i="23"/>
  <c r="AD71" i="23"/>
  <c r="AF72" i="23"/>
  <c r="AD72" i="23"/>
  <c r="AF73" i="23"/>
  <c r="AD73" i="23"/>
  <c r="AF76" i="23"/>
  <c r="AD76" i="23"/>
  <c r="AF77" i="23"/>
  <c r="AD77" i="23"/>
  <c r="AF74" i="23"/>
  <c r="AD74" i="23"/>
  <c r="AF75" i="23"/>
  <c r="AD75" i="23"/>
  <c r="AD114" i="23"/>
  <c r="AD115" i="23"/>
  <c r="AD118" i="23"/>
  <c r="AD119" i="23"/>
  <c r="AD120" i="23"/>
  <c r="AD121" i="23"/>
  <c r="AD122" i="23"/>
  <c r="AD123" i="23"/>
  <c r="AD124" i="23"/>
  <c r="AD125" i="23"/>
  <c r="AD126" i="23"/>
  <c r="AD127" i="23"/>
  <c r="AE129" i="23"/>
  <c r="AE128" i="23"/>
  <c r="AD128" i="23"/>
  <c r="AD129" i="23"/>
  <c r="AF130" i="23"/>
  <c r="AE130" i="23"/>
  <c r="AD130" i="23"/>
  <c r="AF131" i="23"/>
  <c r="AE131" i="23"/>
  <c r="AD131" i="23"/>
  <c r="AF132" i="23"/>
  <c r="AE132" i="23"/>
  <c r="AD132" i="23"/>
  <c r="AF133" i="23"/>
  <c r="AE133" i="23"/>
  <c r="AD133" i="23"/>
  <c r="AF134" i="23"/>
  <c r="AE134" i="23"/>
  <c r="AD134" i="23"/>
  <c r="AE135" i="23"/>
  <c r="AD135" i="23"/>
  <c r="AF136" i="23"/>
  <c r="AE136" i="23"/>
  <c r="AD136" i="23"/>
  <c r="AF137" i="23"/>
  <c r="AE137" i="23"/>
  <c r="AD137" i="23"/>
  <c r="AE138" i="23"/>
  <c r="AD138" i="23"/>
  <c r="AE139" i="23"/>
  <c r="AD139" i="23"/>
  <c r="AF140" i="23"/>
  <c r="AE140" i="23"/>
  <c r="AD140" i="23"/>
  <c r="AE141" i="23"/>
  <c r="AD141" i="23"/>
  <c r="AF142" i="23" l="1"/>
  <c r="AE142" i="23"/>
  <c r="AD142" i="23"/>
  <c r="AF143" i="23"/>
  <c r="AE143" i="23"/>
  <c r="AD143" i="23"/>
  <c r="AF144" i="23"/>
  <c r="AE144" i="23"/>
  <c r="AD144" i="23"/>
  <c r="AF145" i="23"/>
  <c r="AE145" i="23"/>
  <c r="AD145" i="23"/>
  <c r="AF146" i="23"/>
  <c r="AE146" i="23"/>
  <c r="AD146" i="23"/>
  <c r="AF147" i="23"/>
  <c r="AE147" i="23"/>
  <c r="AD147" i="23"/>
  <c r="AF148" i="23"/>
  <c r="AE148" i="23"/>
  <c r="AD148" i="23"/>
  <c r="AF149" i="23"/>
  <c r="AE149" i="23"/>
  <c r="AD149" i="23"/>
  <c r="AF150" i="23"/>
  <c r="AE150" i="23"/>
  <c r="AD150" i="23"/>
  <c r="AF151" i="23"/>
  <c r="AE151" i="23"/>
  <c r="AD151" i="23"/>
  <c r="AF154" i="23"/>
  <c r="AE154" i="23"/>
  <c r="AD155" i="23"/>
  <c r="AD154" i="23"/>
  <c r="AF155" i="23"/>
  <c r="AE155" i="23"/>
  <c r="AF156" i="23"/>
  <c r="AE156" i="23"/>
  <c r="AD156" i="23"/>
  <c r="AF157" i="23"/>
  <c r="AE157" i="23"/>
  <c r="AD157" i="23"/>
  <c r="AF158" i="23"/>
  <c r="AE158" i="23"/>
  <c r="AD158" i="23"/>
  <c r="AF159" i="23"/>
  <c r="AE159" i="23"/>
  <c r="AD159" i="23"/>
  <c r="AF160" i="23" l="1"/>
  <c r="AD160" i="23"/>
  <c r="AF161" i="23"/>
  <c r="AF162" i="23"/>
  <c r="AD162" i="23"/>
  <c r="AF163" i="23"/>
  <c r="AD163" i="23"/>
  <c r="AF164" i="23"/>
  <c r="AD164" i="23"/>
  <c r="AF165" i="23"/>
  <c r="AF168" i="23"/>
  <c r="AD168" i="23"/>
  <c r="AF169" i="23"/>
  <c r="AF170" i="23"/>
  <c r="AD170" i="23"/>
  <c r="AF171" i="23"/>
  <c r="AD171" i="23"/>
  <c r="AF172" i="23"/>
  <c r="AE172" i="23"/>
  <c r="AD172" i="23"/>
  <c r="AF173" i="23"/>
  <c r="AF174" i="23"/>
  <c r="AD174" i="23"/>
  <c r="AF175" i="23"/>
  <c r="AD175" i="23"/>
  <c r="AF176" i="23"/>
  <c r="AD176" i="23"/>
  <c r="AF177" i="23"/>
  <c r="AD177" i="23"/>
  <c r="AF180" i="23"/>
  <c r="AD180" i="23"/>
  <c r="AF181" i="23"/>
  <c r="AD181" i="23"/>
  <c r="AF182" i="23"/>
  <c r="AD182" i="23"/>
  <c r="AF183" i="23"/>
  <c r="AD183" i="23"/>
  <c r="AF184" i="23"/>
  <c r="AD184" i="23"/>
  <c r="AF185" i="23"/>
  <c r="AF186" i="23"/>
  <c r="AD186" i="23"/>
  <c r="AF187" i="23"/>
  <c r="AD187" i="23"/>
  <c r="AF188" i="23"/>
  <c r="AD188" i="23"/>
  <c r="AF189" i="23"/>
  <c r="AD189" i="23"/>
  <c r="AF190" i="23"/>
  <c r="AD190" i="23"/>
  <c r="AF191" i="23"/>
  <c r="AD191" i="23"/>
  <c r="AF192" i="23"/>
  <c r="AD192" i="23"/>
  <c r="AD193" i="23"/>
  <c r="AF193" i="23"/>
  <c r="AF194" i="23"/>
  <c r="AD194" i="23"/>
  <c r="AE194" i="23"/>
  <c r="AF195" i="23"/>
  <c r="AE199" i="23"/>
  <c r="AD199" i="23"/>
  <c r="AF199" i="23"/>
  <c r="AD198" i="23"/>
  <c r="AF198" i="23"/>
  <c r="AD200" i="23"/>
  <c r="AF203" i="23"/>
  <c r="AF202" i="23"/>
  <c r="AJ198" i="23" l="1"/>
  <c r="AJ193" i="23"/>
  <c r="AJ192" i="23"/>
  <c r="AJ183" i="23"/>
  <c r="AJ179" i="23"/>
  <c r="AJ180" i="23"/>
  <c r="AJ181" i="23"/>
  <c r="AJ182" i="23"/>
  <c r="AJ184" i="23"/>
  <c r="AJ185" i="23"/>
  <c r="AJ186" i="23"/>
  <c r="AJ187" i="23"/>
  <c r="AJ174" i="23"/>
  <c r="AJ173" i="23"/>
  <c r="AJ171" i="23"/>
  <c r="AJ168" i="23"/>
  <c r="AJ164" i="23"/>
  <c r="AJ160" i="23"/>
  <c r="AJ161" i="23"/>
  <c r="AJ162" i="23"/>
  <c r="AJ163" i="23"/>
  <c r="AJ165" i="23"/>
  <c r="AJ166" i="23"/>
  <c r="AJ167" i="23"/>
  <c r="AJ169" i="23"/>
  <c r="AJ170" i="23"/>
  <c r="AJ172" i="23"/>
  <c r="AJ175" i="23"/>
  <c r="AJ176" i="23"/>
  <c r="AJ177" i="23"/>
  <c r="AJ178" i="23"/>
  <c r="AJ188" i="23"/>
  <c r="AJ189" i="23"/>
  <c r="AJ190" i="23"/>
  <c r="AJ191" i="23"/>
  <c r="AJ194" i="23"/>
  <c r="AJ195" i="23"/>
  <c r="AJ196" i="23"/>
  <c r="AJ197" i="23"/>
  <c r="AJ199" i="23"/>
  <c r="AJ200" i="23"/>
  <c r="AJ201" i="23"/>
  <c r="AJ202" i="23"/>
  <c r="AJ203" i="23"/>
  <c r="AJ159" i="23" l="1"/>
  <c r="AJ158" i="23"/>
  <c r="AJ157" i="23"/>
  <c r="AJ156" i="23"/>
  <c r="AH155" i="23"/>
  <c r="AJ155" i="23" s="1"/>
  <c r="AJ154" i="23"/>
  <c r="AJ153" i="23"/>
  <c r="AJ152" i="23"/>
  <c r="AJ151" i="23"/>
  <c r="AJ150" i="23"/>
  <c r="AJ149" i="23"/>
  <c r="AJ148" i="23"/>
  <c r="AJ147" i="23"/>
  <c r="AJ146" i="23"/>
  <c r="AJ145" i="23"/>
  <c r="AJ144" i="23"/>
  <c r="AJ143" i="23"/>
  <c r="AJ142" i="23"/>
  <c r="AJ141" i="23"/>
  <c r="AJ140" i="23"/>
  <c r="AJ139" i="23"/>
  <c r="AJ138" i="23"/>
  <c r="AJ137" i="23"/>
  <c r="AJ136" i="23"/>
  <c r="AJ135" i="23"/>
  <c r="AJ134" i="23"/>
  <c r="AJ133" i="23"/>
  <c r="AJ132" i="23"/>
  <c r="AJ131" i="23"/>
  <c r="AJ130" i="23"/>
  <c r="AJ129" i="23"/>
  <c r="AJ128" i="23"/>
  <c r="AJ127" i="23"/>
  <c r="AJ126" i="23"/>
  <c r="AJ125" i="23"/>
  <c r="AJ124" i="23"/>
  <c r="AJ123" i="23"/>
  <c r="AJ122" i="23"/>
  <c r="AJ121" i="23"/>
  <c r="AJ120" i="23"/>
  <c r="AJ119" i="23"/>
  <c r="AJ118" i="23"/>
  <c r="AJ117" i="23"/>
  <c r="AJ116" i="23"/>
  <c r="AJ115" i="23"/>
  <c r="AJ114" i="23"/>
  <c r="AJ2" i="23" l="1"/>
  <c r="AJ3" i="23"/>
  <c r="AJ4" i="23"/>
  <c r="AJ5" i="23"/>
  <c r="AJ78" i="23" l="1"/>
  <c r="AJ72" i="23"/>
  <c r="AJ51" i="23"/>
  <c r="AJ37" i="23"/>
  <c r="AJ36" i="23"/>
  <c r="AJ33" i="23" l="1"/>
  <c r="AJ31" i="23"/>
  <c r="AJ28" i="23"/>
  <c r="AJ21" i="23"/>
  <c r="AJ20" i="23"/>
  <c r="AJ16" i="23"/>
  <c r="AJ12" i="23"/>
  <c r="AJ8" i="23"/>
  <c r="AJ6" i="23"/>
  <c r="AJ7" i="23"/>
  <c r="AJ9" i="23"/>
  <c r="AJ10" i="23"/>
  <c r="AJ11" i="23"/>
  <c r="AJ13" i="23"/>
  <c r="AJ14" i="23"/>
  <c r="AJ15" i="23"/>
  <c r="AJ17" i="23"/>
  <c r="AJ18" i="23"/>
  <c r="AJ19" i="23"/>
  <c r="AJ22" i="23"/>
  <c r="AJ23" i="23"/>
  <c r="AJ24" i="23"/>
  <c r="AJ25" i="23"/>
  <c r="AJ26" i="23"/>
  <c r="AJ27" i="23"/>
  <c r="AJ29" i="23"/>
  <c r="AJ30" i="23"/>
  <c r="AJ32" i="23"/>
  <c r="AJ34" i="23"/>
  <c r="AJ35" i="23"/>
  <c r="AJ38" i="23"/>
  <c r="AJ39" i="23"/>
  <c r="AJ40" i="23"/>
  <c r="AJ41" i="23"/>
  <c r="AJ42" i="23"/>
  <c r="AJ43" i="23"/>
  <c r="AJ44" i="23"/>
  <c r="AJ45" i="23"/>
  <c r="AJ48" i="23"/>
  <c r="AJ49" i="23"/>
  <c r="AJ50" i="23"/>
  <c r="AJ52" i="23"/>
  <c r="AJ53" i="23"/>
  <c r="AJ54" i="23"/>
  <c r="AJ55" i="23"/>
  <c r="AJ56" i="23"/>
  <c r="AJ57" i="23"/>
  <c r="AJ58" i="23"/>
  <c r="AJ59" i="23"/>
  <c r="AJ60" i="23"/>
  <c r="AJ61" i="23"/>
  <c r="AJ62" i="23"/>
  <c r="AJ63" i="23"/>
  <c r="AJ66" i="23"/>
  <c r="AJ67" i="23"/>
  <c r="AJ68" i="23"/>
  <c r="AJ69" i="23"/>
  <c r="AJ70" i="23"/>
  <c r="AJ71" i="23"/>
  <c r="AJ73" i="23"/>
  <c r="AJ74" i="23"/>
  <c r="AJ75" i="23"/>
  <c r="AJ76" i="23"/>
  <c r="AJ77" i="23"/>
  <c r="AJ79" i="23"/>
  <c r="AJ80" i="23"/>
  <c r="AJ81" i="23"/>
  <c r="AJ82" i="23"/>
  <c r="AJ83" i="23"/>
  <c r="AJ84" i="23"/>
  <c r="AJ85" i="23"/>
  <c r="AJ88" i="23"/>
  <c r="AJ89" i="23"/>
  <c r="AJ90" i="23"/>
  <c r="AJ91" i="23"/>
  <c r="AJ92" i="23"/>
  <c r="AJ93" i="23"/>
  <c r="AJ94" i="23"/>
  <c r="AJ95" i="23"/>
  <c r="AJ96" i="23"/>
  <c r="AJ97" i="23"/>
  <c r="AJ98" i="23"/>
  <c r="AJ99" i="23"/>
  <c r="AJ100" i="23"/>
  <c r="AJ101" i="23"/>
  <c r="AJ102" i="23"/>
  <c r="AJ103" i="23"/>
  <c r="AJ104" i="23"/>
  <c r="AJ105" i="23"/>
  <c r="AJ106" i="23"/>
  <c r="AJ107" i="23"/>
  <c r="AJ108" i="23"/>
  <c r="AJ109" i="23"/>
  <c r="AJ110" i="23"/>
  <c r="AJ111" i="23"/>
  <c r="AJ112" i="23"/>
  <c r="AJ113" i="23"/>
  <c r="T98" i="23" l="1"/>
</calcChain>
</file>

<file path=xl/sharedStrings.xml><?xml version="1.0" encoding="utf-8"?>
<sst xmlns="http://schemas.openxmlformats.org/spreadsheetml/2006/main" count="2558" uniqueCount="213">
  <si>
    <t>age</t>
  </si>
  <si>
    <t>AP_HW</t>
  </si>
  <si>
    <t>Mean_FF</t>
  </si>
  <si>
    <t>condition</t>
  </si>
  <si>
    <t>DQ</t>
  </si>
  <si>
    <t>AAS_C2</t>
  </si>
  <si>
    <t>AAS_C5</t>
  </si>
  <si>
    <t>AAT_C2</t>
  </si>
  <si>
    <t>ABGC3</t>
  </si>
  <si>
    <t>ABHC1</t>
  </si>
  <si>
    <t>ABIC3</t>
  </si>
  <si>
    <t>ABJC1</t>
  </si>
  <si>
    <t>ABKC1</t>
  </si>
  <si>
    <t>ABMC1</t>
  </si>
  <si>
    <t>ABMC2</t>
  </si>
  <si>
    <t>ABL_C2</t>
  </si>
  <si>
    <t>ABL_C4</t>
  </si>
  <si>
    <t>ABO</t>
  </si>
  <si>
    <t>ABO_C2</t>
  </si>
  <si>
    <t>ABP_C1</t>
  </si>
  <si>
    <t>ABR_C1</t>
  </si>
  <si>
    <t>ABR_C2</t>
  </si>
  <si>
    <t>ABS_C1</t>
  </si>
  <si>
    <t>ABS_C2</t>
  </si>
  <si>
    <t>ABS_C3</t>
  </si>
  <si>
    <t>ABU_C1</t>
  </si>
  <si>
    <t>ABX_C2</t>
  </si>
  <si>
    <t>Cell_ID</t>
  </si>
  <si>
    <t>ACF_C1</t>
  </si>
  <si>
    <t>ACG_C1</t>
  </si>
  <si>
    <t>ACG_C2</t>
  </si>
  <si>
    <t>Con</t>
  </si>
  <si>
    <t>ACS_C1</t>
  </si>
  <si>
    <t>ACS_C2</t>
  </si>
  <si>
    <t>AEP_C1</t>
  </si>
  <si>
    <t>AEP_C3</t>
  </si>
  <si>
    <t>AEQ_C2</t>
  </si>
  <si>
    <t>AEJ_C2</t>
  </si>
  <si>
    <t>AEK_C1</t>
  </si>
  <si>
    <t>AEK_C2</t>
  </si>
  <si>
    <t>AEK_C3</t>
  </si>
  <si>
    <t>AEL_C2</t>
  </si>
  <si>
    <t>AEL_C3</t>
  </si>
  <si>
    <t>AEL_C4</t>
  </si>
  <si>
    <t>AEL_C5</t>
  </si>
  <si>
    <t>AEM_C2</t>
  </si>
  <si>
    <t>AEM_C3</t>
  </si>
  <si>
    <t>AEM_C4</t>
  </si>
  <si>
    <t>AEN_C1</t>
  </si>
  <si>
    <t>AEN_C2</t>
  </si>
  <si>
    <t>AEN_C3</t>
  </si>
  <si>
    <t>AEN_C4</t>
  </si>
  <si>
    <t>genotype</t>
  </si>
  <si>
    <t>ADW_C1</t>
  </si>
  <si>
    <t>ADW_C2</t>
  </si>
  <si>
    <t>ADT_C1</t>
  </si>
  <si>
    <t>ADS_C2</t>
  </si>
  <si>
    <t>ADS_C1</t>
  </si>
  <si>
    <t>ADR_C1</t>
  </si>
  <si>
    <t>ADR_C2</t>
  </si>
  <si>
    <t>ADN_C1</t>
  </si>
  <si>
    <t>AEC_C2</t>
  </si>
  <si>
    <t>AEB_C1</t>
  </si>
  <si>
    <t>AEB_C2</t>
  </si>
  <si>
    <t>ADL_C1</t>
  </si>
  <si>
    <t>ADK_C2</t>
  </si>
  <si>
    <t>ADK_C3</t>
  </si>
  <si>
    <t>ADI_C2</t>
  </si>
  <si>
    <t>ADZ_C1</t>
  </si>
  <si>
    <t>ADU_C1</t>
  </si>
  <si>
    <t>AEE_C1</t>
  </si>
  <si>
    <t>AEE_C2</t>
  </si>
  <si>
    <t>AEE_C3</t>
  </si>
  <si>
    <t>AEG_C1</t>
  </si>
  <si>
    <t>AEG_C2</t>
  </si>
  <si>
    <t>Max_FF</t>
  </si>
  <si>
    <t>slope_max</t>
  </si>
  <si>
    <t>slope_mean</t>
  </si>
  <si>
    <t>SS_FF</t>
  </si>
  <si>
    <t>slope_SSFF</t>
  </si>
  <si>
    <t>Max_Spikes</t>
  </si>
  <si>
    <t>musc</t>
  </si>
  <si>
    <t>stx</t>
  </si>
  <si>
    <t>agegroup</t>
  </si>
  <si>
    <t>BG_C2</t>
  </si>
  <si>
    <t>BG_C3</t>
  </si>
  <si>
    <t>BH_C1</t>
  </si>
  <si>
    <t>BH_C2</t>
  </si>
  <si>
    <t>BJ_C1</t>
  </si>
  <si>
    <t>BJ_C2</t>
  </si>
  <si>
    <t>BK_C1</t>
  </si>
  <si>
    <t>BK_C3</t>
  </si>
  <si>
    <t>AE_C1</t>
  </si>
  <si>
    <t>AE_C3</t>
  </si>
  <si>
    <t>AK_C1</t>
  </si>
  <si>
    <t>AP_C1</t>
  </si>
  <si>
    <t>AP_C2</t>
  </si>
  <si>
    <t>AW_C1</t>
  </si>
  <si>
    <t>AW_C3</t>
  </si>
  <si>
    <t>AW_C4</t>
  </si>
  <si>
    <t>AQ_C1</t>
  </si>
  <si>
    <t>AQ_C2</t>
  </si>
  <si>
    <t>AP_AMP</t>
  </si>
  <si>
    <t>fAHP_AMP</t>
  </si>
  <si>
    <t>mAHP_AMP</t>
  </si>
  <si>
    <t>ADP_AMP</t>
  </si>
  <si>
    <t>NA</t>
  </si>
  <si>
    <t>AEU_C1</t>
  </si>
  <si>
    <t>AEU_C2</t>
  </si>
  <si>
    <t>AEU_C3</t>
  </si>
  <si>
    <t>AET_C1</t>
  </si>
  <si>
    <t>AET_C2</t>
  </si>
  <si>
    <t>AET_C3</t>
  </si>
  <si>
    <t>AES_C1</t>
  </si>
  <si>
    <t>AES_C2</t>
  </si>
  <si>
    <t>Cortical_L5_Pyramidal</t>
  </si>
  <si>
    <t>motoneuron</t>
  </si>
  <si>
    <t>AP1_HW_3x_thresh</t>
  </si>
  <si>
    <t>Mean_AP_3x_thresh</t>
  </si>
  <si>
    <t>Mean_trough_3x_thresh</t>
  </si>
  <si>
    <t>APlast_HW_3x_thresh</t>
  </si>
  <si>
    <t>AP1_trough_3x_thresh</t>
  </si>
  <si>
    <t>APlast_trough_3x_thresh</t>
  </si>
  <si>
    <t>P13plus</t>
  </si>
  <si>
    <t>P7less</t>
  </si>
  <si>
    <t>genotype_actual</t>
  </si>
  <si>
    <t>ChATcre_kcnb1f/f</t>
  </si>
  <si>
    <t>kcnb1f/f</t>
  </si>
  <si>
    <t>muscarine</t>
  </si>
  <si>
    <t>celltype</t>
  </si>
  <si>
    <t>condition_normalised</t>
  </si>
  <si>
    <t>nACSF</t>
  </si>
  <si>
    <t>drug</t>
  </si>
  <si>
    <t xml:space="preserve">  </t>
  </si>
  <si>
    <t>Apamp_mean</t>
  </si>
  <si>
    <t>Amp_first</t>
  </si>
  <si>
    <t>Amp_last</t>
  </si>
  <si>
    <t>mAHP_half_Duration</t>
  </si>
  <si>
    <t>Rheo_nA</t>
  </si>
  <si>
    <t>Res_Mohm</t>
  </si>
  <si>
    <t>Tau_s</t>
  </si>
  <si>
    <t>Cap_pF</t>
  </si>
  <si>
    <t>block_thresh_nA</t>
  </si>
  <si>
    <t>Compound</t>
  </si>
  <si>
    <t>gxtx-1E</t>
  </si>
  <si>
    <t>CelID_Norm</t>
  </si>
  <si>
    <t>AEV_C1</t>
  </si>
  <si>
    <t>AEV_C2</t>
  </si>
  <si>
    <t>AEV_C3</t>
  </si>
  <si>
    <t>AEV_C4</t>
  </si>
  <si>
    <t>AEW_C1</t>
  </si>
  <si>
    <t>AEW_C2</t>
  </si>
  <si>
    <t>AEW_C3</t>
  </si>
  <si>
    <t>RMP</t>
  </si>
  <si>
    <t>Animal</t>
  </si>
  <si>
    <t>AAS</t>
  </si>
  <si>
    <t>AAT</t>
  </si>
  <si>
    <t>ABL</t>
  </si>
  <si>
    <t>ABP</t>
  </si>
  <si>
    <t>ABR</t>
  </si>
  <si>
    <t>ABS</t>
  </si>
  <si>
    <t>ABU</t>
  </si>
  <si>
    <t>ABX</t>
  </si>
  <si>
    <t>AEL</t>
  </si>
  <si>
    <t>AEM</t>
  </si>
  <si>
    <t>ABG</t>
  </si>
  <si>
    <t>ABH</t>
  </si>
  <si>
    <t>ABI</t>
  </si>
  <si>
    <t>ABJ</t>
  </si>
  <si>
    <t>ABM</t>
  </si>
  <si>
    <t>ABK</t>
  </si>
  <si>
    <t>ACF</t>
  </si>
  <si>
    <t>ACG</t>
  </si>
  <si>
    <t>ACS</t>
  </si>
  <si>
    <t>AEU</t>
  </si>
  <si>
    <t>AET</t>
  </si>
  <si>
    <t>AES</t>
  </si>
  <si>
    <t>AEQ</t>
  </si>
  <si>
    <t>AEP</t>
  </si>
  <si>
    <t>BG</t>
  </si>
  <si>
    <t>BH</t>
  </si>
  <si>
    <t>BJ</t>
  </si>
  <si>
    <t>BK</t>
  </si>
  <si>
    <t>AE</t>
  </si>
  <si>
    <t>AK</t>
  </si>
  <si>
    <t>AP</t>
  </si>
  <si>
    <t>AW</t>
  </si>
  <si>
    <t>AQ</t>
  </si>
  <si>
    <t>AEV</t>
  </si>
  <si>
    <t>AEW</t>
  </si>
  <si>
    <t>AEJ</t>
  </si>
  <si>
    <t>AEK</t>
  </si>
  <si>
    <t>AEN</t>
  </si>
  <si>
    <t>ADW</t>
  </si>
  <si>
    <t>ADT</t>
  </si>
  <si>
    <t>ADS</t>
  </si>
  <si>
    <t>ADR</t>
  </si>
  <si>
    <t>AEC</t>
  </si>
  <si>
    <t>AEB</t>
  </si>
  <si>
    <t>ADN</t>
  </si>
  <si>
    <t>ADL</t>
  </si>
  <si>
    <t>ADK</t>
  </si>
  <si>
    <t>ADI</t>
  </si>
  <si>
    <t>ADZ</t>
  </si>
  <si>
    <t>ADU</t>
  </si>
  <si>
    <t>AEE</t>
  </si>
  <si>
    <t>AEG</t>
  </si>
  <si>
    <t>C57B6</t>
  </si>
  <si>
    <t>HB9egfp</t>
  </si>
  <si>
    <t>cKO</t>
  </si>
  <si>
    <t>gender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</si>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</sst>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wrapText="1"/>
    </xf>
    <xf numFmtId="0" fontId="1" fillId="0" borderId="0" xfId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AO203"/>
  <sheetViews>
    <sheetView tabSelected="1" zoomScale="70" zoomScaleNormal="70" workbookViewId="0">
      <selection activeCell="H7" sqref="H7"/>
    </sheetView>
  </sheetViews>
  <sheetFormatPr defaultRowHeight="14.5" x14ac:dyDescent="0.35"/>
  <cols>
    <col min="1" max="1" width="8.7265625" style="2"/>
    <col min="2" max="2" width="17.54296875" style="2" customWidth="1"/>
    <col min="3" max="17" width="8.7265625" style="2"/>
    <col min="18" max="18" width="10.1796875" style="2" customWidth="1"/>
    <col min="19" max="19" width="27.08984375" style="2" customWidth="1"/>
    <col min="20" max="20" width="21.1796875" style="2" customWidth="1"/>
    <col min="21" max="21" width="19.54296875" style="2" customWidth="1"/>
    <col min="22" max="22" width="18.08984375" style="2" customWidth="1"/>
    <col min="23" max="23" width="19.08984375" style="2" customWidth="1"/>
    <col min="24" max="24" width="21.6328125" style="2" bestFit="1" customWidth="1"/>
    <col min="25" max="25" width="10.54296875" style="2" customWidth="1"/>
    <col min="26" max="26" width="16.81640625" style="2" customWidth="1"/>
    <col min="27" max="27" width="15.54296875" style="2" customWidth="1"/>
    <col min="28" max="28" width="13.08984375" style="2" customWidth="1"/>
    <col min="29" max="31" width="8.7265625" style="2"/>
    <col min="32" max="32" width="11.08984375" style="2" customWidth="1"/>
    <col min="33" max="37" width="8.7265625" style="2"/>
    <col min="38" max="38" width="24.453125" style="2" customWidth="1"/>
    <col min="39" max="39" width="8.7265625" style="2"/>
    <col min="40" max="40" width="17.54296875" style="2" customWidth="1"/>
    <col min="41" max="41" width="8.7265625" style="2"/>
  </cols>
  <sheetData>
    <row r="1" spans="1:41" x14ac:dyDescent="0.35">
      <c r="A1" s="2" t="s">
        <v>154</v>
      </c>
      <c r="B1" s="2" t="s">
        <v>27</v>
      </c>
      <c r="C1" s="2" t="s">
        <v>153</v>
      </c>
      <c r="D1" s="2" t="s">
        <v>145</v>
      </c>
      <c r="E1" s="2" t="s">
        <v>75</v>
      </c>
      <c r="F1" s="2" t="s">
        <v>76</v>
      </c>
      <c r="G1" s="2" t="s">
        <v>2</v>
      </c>
      <c r="H1" s="2" t="s">
        <v>77</v>
      </c>
      <c r="I1" s="2" t="s">
        <v>78</v>
      </c>
      <c r="J1" s="2" t="s">
        <v>79</v>
      </c>
      <c r="K1" s="2" t="s">
        <v>80</v>
      </c>
      <c r="L1" s="2" t="s">
        <v>3</v>
      </c>
      <c r="M1" s="2" t="s">
        <v>130</v>
      </c>
      <c r="N1" s="2" t="s">
        <v>52</v>
      </c>
      <c r="O1" s="2" t="s">
        <v>125</v>
      </c>
      <c r="P1" s="2" t="s">
        <v>0</v>
      </c>
      <c r="Q1" s="2" t="s">
        <v>83</v>
      </c>
      <c r="R1" s="2" t="s">
        <v>102</v>
      </c>
      <c r="S1" s="2" t="s">
        <v>1</v>
      </c>
      <c r="T1" s="2" t="s">
        <v>103</v>
      </c>
      <c r="U1" s="2" t="s">
        <v>118</v>
      </c>
      <c r="V1" s="2" t="s">
        <v>117</v>
      </c>
      <c r="W1" s="2" t="s">
        <v>120</v>
      </c>
      <c r="X1" s="2" t="s">
        <v>119</v>
      </c>
      <c r="Y1" s="2" t="s">
        <v>121</v>
      </c>
      <c r="Z1" s="2" t="s">
        <v>122</v>
      </c>
      <c r="AA1" s="2" t="s">
        <v>134</v>
      </c>
      <c r="AB1" s="2" t="s">
        <v>135</v>
      </c>
      <c r="AC1" s="2" t="s">
        <v>136</v>
      </c>
      <c r="AD1" s="2" t="s">
        <v>104</v>
      </c>
      <c r="AE1" s="2" t="s">
        <v>137</v>
      </c>
      <c r="AF1" s="2" t="s">
        <v>105</v>
      </c>
      <c r="AG1" s="2" t="s">
        <v>138</v>
      </c>
      <c r="AH1" s="2" t="s">
        <v>139</v>
      </c>
      <c r="AI1" s="2" t="s">
        <v>140</v>
      </c>
      <c r="AJ1" s="2" t="s">
        <v>141</v>
      </c>
      <c r="AK1" s="2" t="s">
        <v>142</v>
      </c>
      <c r="AL1" s="2" t="s">
        <v>129</v>
      </c>
      <c r="AM1" s="2" t="s">
        <v>143</v>
      </c>
      <c r="AN1" s="2" t="s">
        <v>154</v>
      </c>
      <c r="AO1" s="2" t="s">
        <v>210</v>
      </c>
    </row>
    <row r="2" spans="1:41" x14ac:dyDescent="0.35">
      <c r="A2" s="2" t="s">
        <v>4</v>
      </c>
      <c r="B2" s="2" t="s">
        <v>4</v>
      </c>
      <c r="C2" s="2">
        <v>-66.41</v>
      </c>
      <c r="D2" s="2">
        <v>1</v>
      </c>
      <c r="E2" s="2">
        <v>231.64234422052465</v>
      </c>
      <c r="F2" s="2">
        <v>36.466675451741921</v>
      </c>
      <c r="G2" s="2">
        <v>117.59358064689708</v>
      </c>
      <c r="H2" s="2">
        <v>16.30716849178712</v>
      </c>
      <c r="I2" s="2">
        <v>109.03936321011827</v>
      </c>
      <c r="J2" s="2">
        <v>17.263246763324673</v>
      </c>
      <c r="K2" s="2">
        <v>59</v>
      </c>
      <c r="L2" s="2" t="s">
        <v>131</v>
      </c>
      <c r="M2" s="2" t="s">
        <v>131</v>
      </c>
      <c r="N2" s="2" t="s">
        <v>31</v>
      </c>
      <c r="O2" s="2" t="s">
        <v>127</v>
      </c>
      <c r="P2" s="2">
        <v>16</v>
      </c>
      <c r="Q2" s="2" t="s">
        <v>123</v>
      </c>
      <c r="R2" s="2">
        <v>80.813260869565212</v>
      </c>
      <c r="S2" s="2">
        <v>0.43178260869565216</v>
      </c>
      <c r="T2" s="2">
        <v>22.224782608695701</v>
      </c>
      <c r="U2" s="2">
        <v>0.46688029999999997</v>
      </c>
      <c r="V2" s="2">
        <v>0.42790600000000001</v>
      </c>
      <c r="W2" s="2">
        <v>0.467806</v>
      </c>
      <c r="X2" s="2">
        <v>19.22364</v>
      </c>
      <c r="Y2" s="2">
        <v>20.507899999999999</v>
      </c>
      <c r="Z2" s="2">
        <v>25.2685</v>
      </c>
      <c r="AA2" s="2">
        <v>68.835449999999994</v>
      </c>
      <c r="AB2" s="2">
        <v>80.200199999999995</v>
      </c>
      <c r="AC2" s="2">
        <v>66.650400000000005</v>
      </c>
      <c r="AD2" s="2">
        <f>72.2-66.6</f>
        <v>5.6000000000000085</v>
      </c>
      <c r="AE2" s="2">
        <f>(327-207.8)/2</f>
        <v>59.599999999999994</v>
      </c>
      <c r="AF2" s="2">
        <f>65.5-60</f>
        <v>5.5</v>
      </c>
      <c r="AG2" s="2">
        <v>0.9</v>
      </c>
      <c r="AH2" s="2">
        <v>17</v>
      </c>
      <c r="AI2" s="2">
        <v>1.19065E-2</v>
      </c>
      <c r="AJ2" s="2">
        <f t="shared" ref="AJ2:AJ5" si="0">(AI2/AH2)*1000000</f>
        <v>700.38235294117658</v>
      </c>
      <c r="AK2" s="2" t="s">
        <v>106</v>
      </c>
      <c r="AL2" s="2" t="s">
        <v>116</v>
      </c>
      <c r="AM2" s="2" t="s">
        <v>144</v>
      </c>
      <c r="AN2" s="2" t="s">
        <v>4</v>
      </c>
      <c r="AO2" s="2" t="s">
        <v>211</v>
      </c>
    </row>
    <row r="3" spans="1:41" x14ac:dyDescent="0.35">
      <c r="A3" s="2" t="s">
        <v>4</v>
      </c>
      <c r="B3" s="2" t="s">
        <v>4</v>
      </c>
      <c r="C3" s="2">
        <v>-66.8</v>
      </c>
      <c r="D3" s="2">
        <v>1</v>
      </c>
      <c r="E3" s="2">
        <v>229.20009168003671</v>
      </c>
      <c r="F3" s="2">
        <v>43.882277483659507</v>
      </c>
      <c r="G3" s="2">
        <v>127.99961385226356</v>
      </c>
      <c r="H3" s="2">
        <v>20.816190423316609</v>
      </c>
      <c r="I3" s="2">
        <v>110.96316023080406</v>
      </c>
      <c r="J3" s="2">
        <v>20.832159039678618</v>
      </c>
      <c r="K3" s="2">
        <v>64</v>
      </c>
      <c r="L3" s="2" t="s">
        <v>144</v>
      </c>
      <c r="M3" s="2" t="s">
        <v>132</v>
      </c>
      <c r="N3" s="2" t="s">
        <v>31</v>
      </c>
      <c r="O3" s="2" t="s">
        <v>127</v>
      </c>
      <c r="P3" s="2">
        <v>16</v>
      </c>
      <c r="Q3" s="2" t="s">
        <v>123</v>
      </c>
      <c r="R3" s="2">
        <v>75.703952380952387</v>
      </c>
      <c r="S3" s="2">
        <v>0.4739523809523809</v>
      </c>
      <c r="T3" s="2">
        <v>20.815857142857102</v>
      </c>
      <c r="U3" s="2">
        <v>0.51487820000000006</v>
      </c>
      <c r="V3" s="2">
        <v>0.463169</v>
      </c>
      <c r="W3" s="2">
        <v>0.51886399999999999</v>
      </c>
      <c r="X3" s="2">
        <v>21.939084999999999</v>
      </c>
      <c r="Y3" s="2">
        <v>19.348199999999999</v>
      </c>
      <c r="Z3" s="2">
        <v>22.338899999999999</v>
      </c>
      <c r="AA3" s="2">
        <v>63.787424999999999</v>
      </c>
      <c r="AB3" s="2">
        <v>75.805700000000002</v>
      </c>
      <c r="AC3" s="2">
        <v>63.842799999999997</v>
      </c>
      <c r="AD3" s="2">
        <f>71.9-67.5</f>
        <v>4.4000000000000057</v>
      </c>
      <c r="AE3" s="2">
        <f>(320-210.2)/2</f>
        <v>54.900000000000006</v>
      </c>
      <c r="AF3" s="2">
        <f>62.7-59</f>
        <v>3.7000000000000028</v>
      </c>
      <c r="AG3" s="2">
        <v>1.4</v>
      </c>
      <c r="AH3" s="2">
        <v>14</v>
      </c>
      <c r="AI3" s="2">
        <v>7.2671000000000003E-3</v>
      </c>
      <c r="AJ3" s="2">
        <f t="shared" si="0"/>
        <v>519.07857142857142</v>
      </c>
      <c r="AK3" s="2" t="s">
        <v>106</v>
      </c>
      <c r="AL3" s="2" t="s">
        <v>116</v>
      </c>
      <c r="AM3" s="2" t="s">
        <v>144</v>
      </c>
      <c r="AN3" s="2" t="s">
        <v>4</v>
      </c>
      <c r="AO3" s="2" t="s">
        <v>211</v>
      </c>
    </row>
    <row r="4" spans="1:41" x14ac:dyDescent="0.35">
      <c r="A4" s="2" t="s">
        <v>155</v>
      </c>
      <c r="B4" s="2" t="s">
        <v>5</v>
      </c>
      <c r="C4" s="2">
        <v>-64.7</v>
      </c>
      <c r="D4" s="2">
        <v>2</v>
      </c>
      <c r="E4" s="2">
        <v>271.29679869777488</v>
      </c>
      <c r="F4" s="2">
        <v>32.43960959062904</v>
      </c>
      <c r="G4" s="2">
        <v>60.706322893955608</v>
      </c>
      <c r="H4" s="2">
        <v>6.9112241550761295</v>
      </c>
      <c r="I4" s="2">
        <v>56.657223796034067</v>
      </c>
      <c r="J4" s="2">
        <v>6.5257052669595215</v>
      </c>
      <c r="K4" s="2">
        <v>32</v>
      </c>
      <c r="L4" s="2" t="s">
        <v>131</v>
      </c>
      <c r="M4" s="2" t="s">
        <v>131</v>
      </c>
      <c r="N4" s="2" t="s">
        <v>31</v>
      </c>
      <c r="O4" s="2" t="s">
        <v>127</v>
      </c>
      <c r="P4" s="2">
        <v>16</v>
      </c>
      <c r="Q4" s="2" t="s">
        <v>123</v>
      </c>
      <c r="R4" s="2">
        <v>79.060904761904766</v>
      </c>
      <c r="S4" s="2">
        <v>0.44876190476190486</v>
      </c>
      <c r="T4" s="2">
        <v>20.2607619047619</v>
      </c>
      <c r="U4" s="2">
        <v>0.5704973000000001</v>
      </c>
      <c r="V4" s="2">
        <v>0.53093000000000001</v>
      </c>
      <c r="W4" s="2">
        <v>0.574824</v>
      </c>
      <c r="X4" s="2">
        <v>21.231069999999999</v>
      </c>
      <c r="Y4" s="2">
        <v>13.855</v>
      </c>
      <c r="Z4" s="2">
        <v>21.850629999999999</v>
      </c>
      <c r="AA4" s="2">
        <v>61.569219999999994</v>
      </c>
      <c r="AB4" s="2">
        <v>74.890100000000004</v>
      </c>
      <c r="AC4" s="2">
        <v>60.180700000000002</v>
      </c>
      <c r="AD4" s="2">
        <f>65.9-64</f>
        <v>1.9000000000000057</v>
      </c>
      <c r="AE4" s="2">
        <f>(314-209)/2</f>
        <v>52.5</v>
      </c>
      <c r="AF4" s="2">
        <f>55.3-52</f>
        <v>3.2999999999999972</v>
      </c>
      <c r="AG4" s="2">
        <v>2.35</v>
      </c>
      <c r="AH4" s="2">
        <v>11.4</v>
      </c>
      <c r="AI4" s="2">
        <v>6.4258900000000001E-3</v>
      </c>
      <c r="AJ4" s="2">
        <f t="shared" si="0"/>
        <v>563.67456140350873</v>
      </c>
      <c r="AK4" s="2" t="s">
        <v>106</v>
      </c>
      <c r="AL4" s="2" t="s">
        <v>116</v>
      </c>
      <c r="AM4" s="2" t="s">
        <v>144</v>
      </c>
      <c r="AN4" s="2" t="s">
        <v>155</v>
      </c>
      <c r="AO4" s="2" t="s">
        <v>212</v>
      </c>
    </row>
    <row r="5" spans="1:41" x14ac:dyDescent="0.35">
      <c r="A5" s="2" t="s">
        <v>155</v>
      </c>
      <c r="B5" s="2" t="s">
        <v>5</v>
      </c>
      <c r="C5" s="2">
        <v>-64.5</v>
      </c>
      <c r="D5" s="2">
        <v>2</v>
      </c>
      <c r="E5" s="2">
        <v>262.53609871357327</v>
      </c>
      <c r="F5" s="2">
        <v>40.563560749497185</v>
      </c>
      <c r="G5" s="2">
        <v>67.651295974937298</v>
      </c>
      <c r="H5" s="2">
        <v>8.0333899754480083</v>
      </c>
      <c r="I5" s="2">
        <v>57.501006267609803</v>
      </c>
      <c r="J5" s="2">
        <v>6.9869084375102064</v>
      </c>
      <c r="K5" s="2">
        <v>33</v>
      </c>
      <c r="L5" s="2" t="s">
        <v>144</v>
      </c>
      <c r="M5" s="2" t="s">
        <v>132</v>
      </c>
      <c r="N5" s="2" t="s">
        <v>31</v>
      </c>
      <c r="O5" s="2" t="s">
        <v>127</v>
      </c>
      <c r="P5" s="2">
        <v>16</v>
      </c>
      <c r="Q5" s="2" t="s">
        <v>123</v>
      </c>
      <c r="R5" s="2">
        <v>78.146785714285713</v>
      </c>
      <c r="S5" s="2">
        <v>0.4528571428571429</v>
      </c>
      <c r="T5" s="2">
        <v>20.808571428571401</v>
      </c>
      <c r="U5" s="2">
        <v>0.46881183333333332</v>
      </c>
      <c r="V5" s="2">
        <v>0.44292599999999999</v>
      </c>
      <c r="W5" s="2">
        <v>0.47292299999999998</v>
      </c>
      <c r="X5" s="2">
        <v>20.8816375</v>
      </c>
      <c r="Y5" s="2">
        <v>15.258699999999999</v>
      </c>
      <c r="Z5" s="2">
        <v>20.629899999999999</v>
      </c>
      <c r="AA5" s="2">
        <v>72.232566666666671</v>
      </c>
      <c r="AB5" s="2">
        <v>83.801299999999998</v>
      </c>
      <c r="AC5" s="2">
        <v>72.265600000000006</v>
      </c>
      <c r="AD5" s="2">
        <f>65.8-63.6</f>
        <v>2.1999999999999957</v>
      </c>
      <c r="AE5" s="2">
        <f>(305.8-209)/2</f>
        <v>48.400000000000006</v>
      </c>
      <c r="AF5" s="2">
        <f>55-52</f>
        <v>3</v>
      </c>
      <c r="AG5" s="2">
        <v>3.52</v>
      </c>
      <c r="AH5" s="2">
        <v>6.2</v>
      </c>
      <c r="AI5" s="2">
        <v>5.5224000000000002E-3</v>
      </c>
      <c r="AJ5" s="2">
        <f t="shared" si="0"/>
        <v>890.70967741935488</v>
      </c>
      <c r="AK5" s="2" t="s">
        <v>106</v>
      </c>
      <c r="AL5" s="2" t="s">
        <v>116</v>
      </c>
      <c r="AM5" s="2" t="s">
        <v>144</v>
      </c>
      <c r="AN5" s="2" t="s">
        <v>155</v>
      </c>
      <c r="AO5" s="2" t="s">
        <v>212</v>
      </c>
    </row>
    <row r="6" spans="1:41" x14ac:dyDescent="0.35">
      <c r="A6" s="2" t="s">
        <v>155</v>
      </c>
      <c r="B6" s="2" t="s">
        <v>6</v>
      </c>
      <c r="C6" s="2">
        <v>-66.599999999999994</v>
      </c>
      <c r="D6" s="2">
        <v>3</v>
      </c>
      <c r="E6" s="2">
        <v>208.28993959591804</v>
      </c>
      <c r="F6" s="2">
        <v>50.809881417636902</v>
      </c>
      <c r="G6" s="2">
        <v>64.793067086395865</v>
      </c>
      <c r="H6" s="2">
        <v>15.295069118784941</v>
      </c>
      <c r="I6" s="2">
        <v>63.355296502787667</v>
      </c>
      <c r="J6" s="2">
        <v>15.349534037405988</v>
      </c>
      <c r="K6" s="2">
        <v>34</v>
      </c>
      <c r="L6" s="2" t="s">
        <v>131</v>
      </c>
      <c r="M6" s="2" t="s">
        <v>131</v>
      </c>
      <c r="N6" s="2" t="s">
        <v>31</v>
      </c>
      <c r="O6" s="2" t="s">
        <v>127</v>
      </c>
      <c r="P6" s="2">
        <v>16</v>
      </c>
      <c r="Q6" s="2" t="s">
        <v>123</v>
      </c>
      <c r="R6" s="2">
        <v>77.749600000000001</v>
      </c>
      <c r="S6" s="2">
        <v>0.51690000000000003</v>
      </c>
      <c r="T6" s="2">
        <v>16.381799999999998</v>
      </c>
      <c r="U6" s="2">
        <v>0.62953612499999989</v>
      </c>
      <c r="V6" s="2">
        <v>0.51680300000000001</v>
      </c>
      <c r="W6" s="2">
        <v>0.64893900000000004</v>
      </c>
      <c r="X6" s="2">
        <v>17.08984375</v>
      </c>
      <c r="Y6" s="2">
        <v>13.794</v>
      </c>
      <c r="Z6" s="2">
        <v>16.418500000000002</v>
      </c>
      <c r="AA6" s="2">
        <v>60.916906249999997</v>
      </c>
      <c r="AB6" s="2">
        <v>77.087400000000002</v>
      </c>
      <c r="AC6" s="2">
        <v>60.180700000000002</v>
      </c>
      <c r="AD6" s="2">
        <f>70.4-65.6</f>
        <v>4.8000000000000114</v>
      </c>
      <c r="AE6" s="2">
        <f>(350.6-210.2)/2</f>
        <v>70.200000000000017</v>
      </c>
      <c r="AF6" s="2">
        <f>56.9-55.7</f>
        <v>1.1999999999999957</v>
      </c>
      <c r="AG6" s="2">
        <v>1.73</v>
      </c>
      <c r="AH6" s="2">
        <v>27.4</v>
      </c>
      <c r="AI6" s="2">
        <v>8.1359999999999991E-3</v>
      </c>
      <c r="AJ6" s="2">
        <f t="shared" ref="AJ6:AJ68" si="1">(AI6/AH6)*1000000</f>
        <v>296.93430656934305</v>
      </c>
      <c r="AK6" s="2">
        <v>6.9</v>
      </c>
      <c r="AL6" s="2" t="s">
        <v>116</v>
      </c>
      <c r="AM6" s="2" t="s">
        <v>144</v>
      </c>
      <c r="AN6" s="2" t="s">
        <v>155</v>
      </c>
      <c r="AO6" s="2" t="s">
        <v>212</v>
      </c>
    </row>
    <row r="7" spans="1:41" x14ac:dyDescent="0.35">
      <c r="A7" s="2" t="s">
        <v>155</v>
      </c>
      <c r="B7" s="2" t="s">
        <v>6</v>
      </c>
      <c r="C7" s="2">
        <v>-62.5</v>
      </c>
      <c r="D7" s="2">
        <v>3</v>
      </c>
      <c r="E7" s="2">
        <v>196.88915140775714</v>
      </c>
      <c r="F7" s="2">
        <v>43.691152699927301</v>
      </c>
      <c r="G7" s="2">
        <v>71.421587290993401</v>
      </c>
      <c r="H7" s="2">
        <v>16.603094885761788</v>
      </c>
      <c r="I7" s="2">
        <v>62.433664231753554</v>
      </c>
      <c r="J7" s="2">
        <v>15.313584873529496</v>
      </c>
      <c r="K7" s="2">
        <v>37</v>
      </c>
      <c r="L7" s="2" t="s">
        <v>144</v>
      </c>
      <c r="M7" s="2" t="s">
        <v>132</v>
      </c>
      <c r="N7" s="2" t="s">
        <v>31</v>
      </c>
      <c r="O7" s="2" t="s">
        <v>127</v>
      </c>
      <c r="P7" s="2">
        <v>16</v>
      </c>
      <c r="Q7" s="2" t="s">
        <v>123</v>
      </c>
      <c r="R7" s="2">
        <v>76.928550000000001</v>
      </c>
      <c r="S7" s="2">
        <v>0.54374999999999996</v>
      </c>
      <c r="T7" s="2">
        <v>15.866</v>
      </c>
      <c r="U7" s="2">
        <v>0.68256405555555555</v>
      </c>
      <c r="V7" s="2">
        <v>0.56588300000000002</v>
      </c>
      <c r="W7" s="2">
        <v>0.70611800000000002</v>
      </c>
      <c r="X7" s="2">
        <v>16.591388888888901</v>
      </c>
      <c r="Y7" s="2">
        <v>12.023899999999999</v>
      </c>
      <c r="Z7" s="2">
        <v>16.113299999999999</v>
      </c>
      <c r="AA7" s="2">
        <v>59.271927777777769</v>
      </c>
      <c r="AB7" s="2">
        <v>76.721199999999996</v>
      </c>
      <c r="AC7" s="2">
        <v>58.471699999999998</v>
      </c>
      <c r="AD7" s="2">
        <f>67.9-64.8</f>
        <v>3.1000000000000085</v>
      </c>
      <c r="AE7" s="2">
        <f>(343.6-212.5)/2</f>
        <v>65.550000000000011</v>
      </c>
      <c r="AF7" s="2">
        <f>54.9-54</f>
        <v>0.89999999999999858</v>
      </c>
      <c r="AG7" s="2">
        <v>1.35</v>
      </c>
      <c r="AH7" s="2">
        <v>15</v>
      </c>
      <c r="AI7" s="2">
        <v>8.3539100000000008E-3</v>
      </c>
      <c r="AJ7" s="2">
        <f t="shared" si="1"/>
        <v>556.92733333333342</v>
      </c>
      <c r="AK7" s="2">
        <v>6.5</v>
      </c>
      <c r="AL7" s="2" t="s">
        <v>116</v>
      </c>
      <c r="AM7" s="2" t="s">
        <v>144</v>
      </c>
      <c r="AN7" s="2" t="s">
        <v>155</v>
      </c>
      <c r="AO7" s="2" t="s">
        <v>212</v>
      </c>
    </row>
    <row r="8" spans="1:41" x14ac:dyDescent="0.35">
      <c r="A8" s="2" t="s">
        <v>156</v>
      </c>
      <c r="B8" s="2" t="s">
        <v>7</v>
      </c>
      <c r="C8" s="2">
        <v>-64.5</v>
      </c>
      <c r="D8" s="2">
        <v>3.3</v>
      </c>
      <c r="E8" s="2">
        <v>246.42681123706302</v>
      </c>
      <c r="F8" s="2">
        <v>38.049764280911639</v>
      </c>
      <c r="G8" s="2">
        <v>94.280155134239592</v>
      </c>
      <c r="H8" s="2">
        <v>26.091597123497117</v>
      </c>
      <c r="I8" s="2">
        <v>77.369439071567001</v>
      </c>
      <c r="J8" s="2">
        <v>24.148204238769694</v>
      </c>
      <c r="K8" s="2">
        <v>46</v>
      </c>
      <c r="L8" s="2" t="s">
        <v>131</v>
      </c>
      <c r="M8" s="2" t="s">
        <v>131</v>
      </c>
      <c r="N8" s="2" t="s">
        <v>31</v>
      </c>
      <c r="O8" s="2" t="s">
        <v>127</v>
      </c>
      <c r="P8" s="2">
        <v>18</v>
      </c>
      <c r="Q8" s="2" t="s">
        <v>123</v>
      </c>
      <c r="R8" s="2">
        <v>81.878750000000011</v>
      </c>
      <c r="S8" s="2">
        <v>0.46964999999999985</v>
      </c>
      <c r="T8" s="2">
        <v>17.111149999999999</v>
      </c>
      <c r="U8" s="2">
        <v>0.76577013888888901</v>
      </c>
      <c r="V8" s="2">
        <v>0.50628799999999996</v>
      </c>
      <c r="W8" s="2">
        <v>0.67162299999999997</v>
      </c>
      <c r="X8" s="2">
        <v>18.751185365853701</v>
      </c>
      <c r="Y8" s="2">
        <v>14.1602</v>
      </c>
      <c r="Z8" s="2">
        <v>21.240300000000001</v>
      </c>
      <c r="AA8" s="2">
        <v>49.496539024390259</v>
      </c>
      <c r="AB8" s="2">
        <v>77.209500000000006</v>
      </c>
      <c r="AC8" s="2">
        <v>49.621600000000001</v>
      </c>
      <c r="AD8" s="2">
        <f>67.7-64.7</f>
        <v>3</v>
      </c>
      <c r="AE8" s="2">
        <f>(336.5-213.7)/2</f>
        <v>61.400000000000006</v>
      </c>
      <c r="AF8" s="2">
        <f>59-53.9</f>
        <v>5.1000000000000014</v>
      </c>
      <c r="AG8" s="2">
        <v>1.1000000000000001</v>
      </c>
      <c r="AH8" s="2">
        <v>8.1999999999999993</v>
      </c>
      <c r="AI8" s="2">
        <v>4.6710600000000003E-3</v>
      </c>
      <c r="AJ8" s="2">
        <f t="shared" si="1"/>
        <v>569.64146341463425</v>
      </c>
      <c r="AK8" s="2">
        <v>4.8</v>
      </c>
      <c r="AL8" s="2" t="s">
        <v>116</v>
      </c>
      <c r="AM8" s="2" t="s">
        <v>144</v>
      </c>
      <c r="AN8" s="2" t="s">
        <v>156</v>
      </c>
      <c r="AO8" s="2" t="s">
        <v>211</v>
      </c>
    </row>
    <row r="9" spans="1:41" x14ac:dyDescent="0.35">
      <c r="A9" s="2" t="s">
        <v>156</v>
      </c>
      <c r="B9" s="2" t="s">
        <v>7</v>
      </c>
      <c r="C9" s="2">
        <v>-63.5</v>
      </c>
      <c r="D9" s="2">
        <v>3.7</v>
      </c>
      <c r="E9" s="2">
        <v>223.31397945511489</v>
      </c>
      <c r="F9" s="2">
        <v>45.402875116446069</v>
      </c>
      <c r="G9" s="2">
        <v>88.195922789115826</v>
      </c>
      <c r="H9" s="2">
        <v>26.225460806904078</v>
      </c>
      <c r="I9" s="2">
        <v>73.190368147552334</v>
      </c>
      <c r="J9" s="2">
        <v>22.789140395685198</v>
      </c>
      <c r="K9" s="2">
        <v>43</v>
      </c>
      <c r="L9" s="2" t="s">
        <v>144</v>
      </c>
      <c r="M9" s="2" t="s">
        <v>132</v>
      </c>
      <c r="N9" s="2" t="s">
        <v>31</v>
      </c>
      <c r="O9" s="2" t="s">
        <v>127</v>
      </c>
      <c r="P9" s="2">
        <v>18</v>
      </c>
      <c r="Q9" s="2" t="s">
        <v>123</v>
      </c>
      <c r="R9" s="2">
        <v>78.964200000000005</v>
      </c>
      <c r="S9" s="2">
        <v>0.47940000000000005</v>
      </c>
      <c r="T9" s="2">
        <v>18.368600000000001</v>
      </c>
      <c r="U9" s="2">
        <v>0.8653293157894737</v>
      </c>
      <c r="V9" s="2">
        <v>0.53638600000000003</v>
      </c>
      <c r="W9" s="2">
        <v>0.79800000000000004</v>
      </c>
      <c r="X9" s="2">
        <v>19.160210526315801</v>
      </c>
      <c r="Y9" s="2">
        <v>13.732900000000001</v>
      </c>
      <c r="Z9" s="2">
        <v>19.958500000000001</v>
      </c>
      <c r="AA9" s="2">
        <v>41.660852380952377</v>
      </c>
      <c r="AB9" s="2">
        <v>76.049800000000005</v>
      </c>
      <c r="AC9" s="2">
        <v>42.1143</v>
      </c>
      <c r="AD9" s="2">
        <f>66.5-64.2</f>
        <v>2.2999999999999972</v>
      </c>
      <c r="AE9" s="2">
        <f>(341.2-214)/2</f>
        <v>63.599999999999994</v>
      </c>
      <c r="AF9" s="2">
        <f>57.1-52.4</f>
        <v>4.7000000000000028</v>
      </c>
      <c r="AG9" s="2">
        <v>1</v>
      </c>
      <c r="AH9" s="2">
        <v>12.2</v>
      </c>
      <c r="AI9" s="2">
        <v>6.5004700000000004E-3</v>
      </c>
      <c r="AJ9" s="2">
        <f t="shared" si="1"/>
        <v>532.82540983606555</v>
      </c>
      <c r="AK9" s="2">
        <v>4.3</v>
      </c>
      <c r="AL9" s="2" t="s">
        <v>116</v>
      </c>
      <c r="AM9" s="2" t="s">
        <v>144</v>
      </c>
      <c r="AN9" s="2" t="s">
        <v>156</v>
      </c>
      <c r="AO9" s="2" t="s">
        <v>211</v>
      </c>
    </row>
    <row r="10" spans="1:41" x14ac:dyDescent="0.35">
      <c r="A10" s="2" t="s">
        <v>165</v>
      </c>
      <c r="B10" s="2" t="s">
        <v>8</v>
      </c>
      <c r="C10" s="2">
        <v>-62.5</v>
      </c>
      <c r="D10" s="2">
        <v>4.0999999999999996</v>
      </c>
      <c r="E10" s="2">
        <v>136.36983499249968</v>
      </c>
      <c r="F10" s="2">
        <v>53.944847429987583</v>
      </c>
      <c r="G10" s="2">
        <v>36.975957147903515</v>
      </c>
      <c r="H10" s="2">
        <v>27.871929594387151</v>
      </c>
      <c r="I10" s="2">
        <v>38.299502106472595</v>
      </c>
      <c r="J10" s="2">
        <v>29.273350358653836</v>
      </c>
      <c r="K10" s="2">
        <v>20</v>
      </c>
      <c r="L10" s="2" t="s">
        <v>131</v>
      </c>
      <c r="M10" s="2" t="s">
        <v>131</v>
      </c>
      <c r="N10" s="2" t="s">
        <v>31</v>
      </c>
      <c r="O10" s="2" t="s">
        <v>127</v>
      </c>
      <c r="P10" s="2">
        <v>14</v>
      </c>
      <c r="Q10" s="2" t="s">
        <v>123</v>
      </c>
      <c r="R10" s="2">
        <v>63.789375</v>
      </c>
      <c r="S10" s="2">
        <v>0.67181249999999992</v>
      </c>
      <c r="T10" s="2">
        <v>28.926937500000001</v>
      </c>
      <c r="U10" s="2">
        <v>0.79895612500000002</v>
      </c>
      <c r="V10" s="2">
        <v>0.70599999999999996</v>
      </c>
      <c r="W10" s="2">
        <v>0.80829799999999996</v>
      </c>
      <c r="X10" s="2">
        <v>30.944800000000001</v>
      </c>
      <c r="Y10" s="2">
        <v>27.648900000000001</v>
      </c>
      <c r="Z10" s="2">
        <v>31.3111</v>
      </c>
      <c r="AA10" s="2">
        <v>55.915824999999998</v>
      </c>
      <c r="AB10" s="2">
        <v>68.115200000000002</v>
      </c>
      <c r="AC10" s="2">
        <v>54.992699999999999</v>
      </c>
      <c r="AD10" s="2">
        <f>68.7-64.9</f>
        <v>3.7999999999999972</v>
      </c>
      <c r="AE10" s="2">
        <f>(399.1-220.8)/2</f>
        <v>89.15</v>
      </c>
      <c r="AF10" s="2">
        <f>57.6-53</f>
        <v>4.6000000000000014</v>
      </c>
      <c r="AG10" s="2">
        <v>0.3</v>
      </c>
      <c r="AH10" s="2">
        <v>58</v>
      </c>
      <c r="AI10" s="2">
        <v>8.2930599999999997E-3</v>
      </c>
      <c r="AJ10" s="2">
        <f t="shared" si="1"/>
        <v>142.98379310344828</v>
      </c>
      <c r="AK10" s="2">
        <v>2.1</v>
      </c>
      <c r="AL10" s="2" t="s">
        <v>116</v>
      </c>
      <c r="AM10" s="2" t="s">
        <v>144</v>
      </c>
      <c r="AN10" s="2" t="s">
        <v>165</v>
      </c>
      <c r="AO10" s="2" t="s">
        <v>211</v>
      </c>
    </row>
    <row r="11" spans="1:41" x14ac:dyDescent="0.35">
      <c r="A11" s="2" t="s">
        <v>165</v>
      </c>
      <c r="B11" s="2" t="s">
        <v>8</v>
      </c>
      <c r="C11" s="2">
        <v>-63.07</v>
      </c>
      <c r="D11" s="2">
        <v>4.5</v>
      </c>
      <c r="E11" s="2">
        <v>132.69639065817407</v>
      </c>
      <c r="F11" s="2">
        <v>43.506305991413008</v>
      </c>
      <c r="G11" s="2">
        <v>42.860217986552449</v>
      </c>
      <c r="H11" s="2">
        <v>31.125687834883529</v>
      </c>
      <c r="I11" s="2">
        <v>38.175224279442737</v>
      </c>
      <c r="J11" s="2">
        <v>30.189561993391258</v>
      </c>
      <c r="K11" s="2">
        <v>23</v>
      </c>
      <c r="L11" s="2" t="s">
        <v>144</v>
      </c>
      <c r="M11" s="2" t="s">
        <v>132</v>
      </c>
      <c r="N11" s="2" t="s">
        <v>31</v>
      </c>
      <c r="O11" s="2" t="s">
        <v>127</v>
      </c>
      <c r="P11" s="2">
        <v>14</v>
      </c>
      <c r="Q11" s="2" t="s">
        <v>123</v>
      </c>
      <c r="R11" s="2">
        <v>53.696923076923071</v>
      </c>
      <c r="S11" s="2">
        <v>0.80738461538461526</v>
      </c>
      <c r="T11" s="2">
        <v>25.080769230769199</v>
      </c>
      <c r="U11" s="2">
        <v>0.91835299999999997</v>
      </c>
      <c r="V11" s="2">
        <v>0.834924</v>
      </c>
      <c r="W11" s="2">
        <v>0.94637400000000005</v>
      </c>
      <c r="X11" s="2">
        <v>28.407499999999999</v>
      </c>
      <c r="Y11" s="2">
        <v>23.4375</v>
      </c>
      <c r="Z11" s="2">
        <v>29.174800000000001</v>
      </c>
      <c r="AA11" s="2">
        <v>51.461342857142846</v>
      </c>
      <c r="AB11" s="2">
        <v>61.279299999999999</v>
      </c>
      <c r="AC11" s="2">
        <v>51.086399999999998</v>
      </c>
      <c r="AD11" s="2">
        <f>68.2-65</f>
        <v>3.2000000000000028</v>
      </c>
      <c r="AE11" s="2">
        <f>(407.3-224.3)/2</f>
        <v>91.5</v>
      </c>
      <c r="AF11" s="2">
        <f>55.4-51.6</f>
        <v>3.7999999999999972</v>
      </c>
      <c r="AG11" s="2">
        <v>0.38</v>
      </c>
      <c r="AH11" s="2">
        <v>53.1</v>
      </c>
      <c r="AI11" s="2">
        <v>1.03903E-2</v>
      </c>
      <c r="AJ11" s="2">
        <f t="shared" si="1"/>
        <v>195.67419962335214</v>
      </c>
      <c r="AK11" s="2">
        <v>2.2000000000000002</v>
      </c>
      <c r="AL11" s="2" t="s">
        <v>116</v>
      </c>
      <c r="AM11" s="2" t="s">
        <v>144</v>
      </c>
      <c r="AN11" s="2" t="s">
        <v>165</v>
      </c>
      <c r="AO11" s="2" t="s">
        <v>211</v>
      </c>
    </row>
    <row r="12" spans="1:41" x14ac:dyDescent="0.35">
      <c r="A12" s="2" t="s">
        <v>166</v>
      </c>
      <c r="B12" s="2" t="s">
        <v>9</v>
      </c>
      <c r="C12" s="2">
        <v>-60.5</v>
      </c>
      <c r="D12" s="2">
        <v>4.9000000000000004</v>
      </c>
      <c r="E12" s="2">
        <v>111.78180192264702</v>
      </c>
      <c r="F12" s="2">
        <v>101.3049060584068</v>
      </c>
      <c r="G12" s="2">
        <v>38.299676191921492</v>
      </c>
      <c r="H12" s="2">
        <v>37.046413847999787</v>
      </c>
      <c r="I12" s="2">
        <v>29.706205626355437</v>
      </c>
      <c r="J12" s="2">
        <v>35.583253035903944</v>
      </c>
      <c r="K12" s="2">
        <v>18</v>
      </c>
      <c r="L12" s="2" t="s">
        <v>131</v>
      </c>
      <c r="M12" s="2" t="s">
        <v>131</v>
      </c>
      <c r="N12" s="2" t="s">
        <v>31</v>
      </c>
      <c r="O12" s="2" t="s">
        <v>127</v>
      </c>
      <c r="P12" s="2">
        <v>15</v>
      </c>
      <c r="Q12" s="2" t="s">
        <v>123</v>
      </c>
      <c r="R12" s="2">
        <v>80.139142857142858</v>
      </c>
      <c r="S12" s="2">
        <v>1.0477142857142854</v>
      </c>
      <c r="T12" s="2">
        <v>7.9782857142857102</v>
      </c>
      <c r="U12" s="2">
        <v>1.3305779999999998</v>
      </c>
      <c r="V12" s="2">
        <v>1.08304</v>
      </c>
      <c r="W12" s="2">
        <v>1.349</v>
      </c>
      <c r="X12" s="2">
        <v>11.98732</v>
      </c>
      <c r="Y12" s="2">
        <v>9.3384</v>
      </c>
      <c r="Z12" s="2">
        <v>11.9628</v>
      </c>
      <c r="AA12" s="2">
        <v>59.155279999999991</v>
      </c>
      <c r="AB12" s="2">
        <v>78.918499999999995</v>
      </c>
      <c r="AC12" s="2">
        <v>57.128900000000002</v>
      </c>
      <c r="AD12" s="2">
        <f>67.6-65.2</f>
        <v>2.3999999999999915</v>
      </c>
      <c r="AE12" s="2">
        <f>(495.9-256.2)/2</f>
        <v>119.85</v>
      </c>
      <c r="AF12" s="2">
        <f>51.2-48.2</f>
        <v>3</v>
      </c>
      <c r="AG12" s="2">
        <v>0.15</v>
      </c>
      <c r="AH12" s="2">
        <v>80.5</v>
      </c>
      <c r="AI12" s="2">
        <v>1.7100199999999999E-2</v>
      </c>
      <c r="AJ12" s="2">
        <f t="shared" si="1"/>
        <v>212.42484472049688</v>
      </c>
      <c r="AK12" s="2">
        <v>1.2</v>
      </c>
      <c r="AL12" s="2" t="s">
        <v>116</v>
      </c>
      <c r="AM12" s="2" t="s">
        <v>144</v>
      </c>
      <c r="AN12" s="2" t="s">
        <v>166</v>
      </c>
      <c r="AO12" s="2" t="s">
        <v>211</v>
      </c>
    </row>
    <row r="13" spans="1:41" x14ac:dyDescent="0.35">
      <c r="A13" s="2" t="s">
        <v>166</v>
      </c>
      <c r="B13" s="2" t="s">
        <v>9</v>
      </c>
      <c r="C13" s="2">
        <v>-60.3</v>
      </c>
      <c r="D13" s="2">
        <v>5.3</v>
      </c>
      <c r="E13" s="2">
        <v>111.29660545353386</v>
      </c>
      <c r="F13" s="2">
        <v>113.85061266794325</v>
      </c>
      <c r="G13" s="2">
        <v>40.134608725677154</v>
      </c>
      <c r="H13" s="2">
        <v>42.334419287951874</v>
      </c>
      <c r="I13" s="2">
        <v>32.294526077829772</v>
      </c>
      <c r="J13" s="2">
        <v>38.320609172983865</v>
      </c>
      <c r="K13" s="2">
        <v>20</v>
      </c>
      <c r="L13" s="2" t="s">
        <v>144</v>
      </c>
      <c r="M13" s="2" t="s">
        <v>132</v>
      </c>
      <c r="N13" s="2" t="s">
        <v>31</v>
      </c>
      <c r="O13" s="2" t="s">
        <v>127</v>
      </c>
      <c r="P13" s="2">
        <v>15</v>
      </c>
      <c r="Q13" s="2" t="s">
        <v>123</v>
      </c>
      <c r="R13" s="2">
        <v>79.660230769230779</v>
      </c>
      <c r="S13" s="2">
        <v>1.0431538461538461</v>
      </c>
      <c r="T13" s="2">
        <v>8.6200769230769207</v>
      </c>
      <c r="U13" s="2">
        <v>1.353078</v>
      </c>
      <c r="V13" s="2">
        <v>1.1086</v>
      </c>
      <c r="W13" s="2">
        <v>1.37439</v>
      </c>
      <c r="X13" s="2">
        <v>12.609859999999999</v>
      </c>
      <c r="Y13" s="2">
        <v>9.5213999999999999</v>
      </c>
      <c r="Z13" s="2">
        <v>13.1226</v>
      </c>
      <c r="AA13" s="2">
        <v>59.069839999999999</v>
      </c>
      <c r="AB13" s="2">
        <v>76.843299999999999</v>
      </c>
      <c r="AC13" s="2">
        <v>56.2134</v>
      </c>
      <c r="AD13" s="2">
        <f>67.1-64.5</f>
        <v>2.5999999999999943</v>
      </c>
      <c r="AE13" s="2">
        <f>(516.5-252.4)/2</f>
        <v>132.05000000000001</v>
      </c>
      <c r="AF13" s="2">
        <f>50.8-48.4</f>
        <v>2.3999999999999986</v>
      </c>
      <c r="AG13" s="2">
        <v>1.6</v>
      </c>
      <c r="AH13" s="2">
        <v>78.7</v>
      </c>
      <c r="AI13" s="2">
        <v>2.3070199999999999E-2</v>
      </c>
      <c r="AJ13" s="2">
        <f t="shared" si="1"/>
        <v>293.14104193138496</v>
      </c>
      <c r="AK13" s="2">
        <v>1.2</v>
      </c>
      <c r="AL13" s="2" t="s">
        <v>116</v>
      </c>
      <c r="AM13" s="2" t="s">
        <v>144</v>
      </c>
      <c r="AN13" s="2" t="s">
        <v>166</v>
      </c>
      <c r="AO13" s="2" t="s">
        <v>211</v>
      </c>
    </row>
    <row r="14" spans="1:41" x14ac:dyDescent="0.35">
      <c r="A14" s="2" t="s">
        <v>167</v>
      </c>
      <c r="B14" s="2" t="s">
        <v>10</v>
      </c>
      <c r="C14" s="2">
        <v>-65.5</v>
      </c>
      <c r="D14" s="2">
        <v>5.7</v>
      </c>
      <c r="E14" s="2">
        <v>210.03990758244086</v>
      </c>
      <c r="F14" s="2">
        <v>116.96039392421686</v>
      </c>
      <c r="G14" s="2">
        <v>65.819632168786384</v>
      </c>
      <c r="H14" s="2">
        <v>20.973786584028424</v>
      </c>
      <c r="I14" s="2">
        <v>61.919504643962938</v>
      </c>
      <c r="J14" s="2">
        <v>19.009068129871206</v>
      </c>
      <c r="K14" s="2">
        <v>35</v>
      </c>
      <c r="L14" s="2" t="s">
        <v>131</v>
      </c>
      <c r="M14" s="2" t="s">
        <v>131</v>
      </c>
      <c r="N14" s="2" t="s">
        <v>31</v>
      </c>
      <c r="O14" s="2" t="s">
        <v>127</v>
      </c>
      <c r="P14" s="2">
        <v>16</v>
      </c>
      <c r="Q14" s="2" t="s">
        <v>123</v>
      </c>
      <c r="R14" s="2">
        <v>74.41057142857143</v>
      </c>
      <c r="S14" s="2">
        <v>0.59321428571428569</v>
      </c>
      <c r="T14" s="2">
        <v>11.4788571428571</v>
      </c>
      <c r="U14" s="2">
        <v>0.67459364705882341</v>
      </c>
      <c r="V14" s="2">
        <v>0.62628899999999998</v>
      </c>
      <c r="W14" s="2">
        <v>0.68772500000000003</v>
      </c>
      <c r="X14" s="2">
        <v>15.826052941176499</v>
      </c>
      <c r="Y14" s="2">
        <v>8.6059999999999999</v>
      </c>
      <c r="Z14" s="2">
        <v>14.8315</v>
      </c>
      <c r="AA14" s="2">
        <v>56.104569565217389</v>
      </c>
      <c r="AB14" s="2">
        <v>75.256299999999996</v>
      </c>
      <c r="AC14" s="2">
        <v>63.171399999999998</v>
      </c>
      <c r="AD14" s="2">
        <f>68.4-64.5</f>
        <v>3.9000000000000057</v>
      </c>
      <c r="AE14" s="2">
        <f>(327.5-209.3)/2</f>
        <v>59.099999999999994</v>
      </c>
      <c r="AF14" s="2">
        <f>59.7-58.3</f>
        <v>1.4000000000000057</v>
      </c>
      <c r="AG14" s="2">
        <v>0.7</v>
      </c>
      <c r="AH14" s="2">
        <v>29.3</v>
      </c>
      <c r="AI14" s="2">
        <v>7.3993000000000001E-3</v>
      </c>
      <c r="AJ14" s="2">
        <f t="shared" si="1"/>
        <v>252.53583617747441</v>
      </c>
      <c r="AK14" s="2" t="s">
        <v>106</v>
      </c>
      <c r="AL14" s="2" t="s">
        <v>116</v>
      </c>
      <c r="AM14" s="2" t="s">
        <v>144</v>
      </c>
      <c r="AN14" s="2" t="s">
        <v>167</v>
      </c>
      <c r="AO14" s="2" t="s">
        <v>211</v>
      </c>
    </row>
    <row r="15" spans="1:41" x14ac:dyDescent="0.35">
      <c r="A15" s="2" t="s">
        <v>167</v>
      </c>
      <c r="B15" s="2" t="s">
        <v>10</v>
      </c>
      <c r="C15" s="2">
        <v>-67.400000000000006</v>
      </c>
      <c r="D15" s="2">
        <v>6.1</v>
      </c>
      <c r="E15" s="2">
        <v>212.99254526091619</v>
      </c>
      <c r="F15" s="2">
        <v>128.95670039140467</v>
      </c>
      <c r="G15" s="2">
        <v>60.522724947648932</v>
      </c>
      <c r="H15" s="2">
        <v>25.958886143584969</v>
      </c>
      <c r="I15" s="2">
        <v>57.630244352236133</v>
      </c>
      <c r="J15" s="2">
        <v>21.86320261685114</v>
      </c>
      <c r="K15" s="2">
        <v>33</v>
      </c>
      <c r="L15" s="2" t="s">
        <v>144</v>
      </c>
      <c r="M15" s="2" t="s">
        <v>132</v>
      </c>
      <c r="N15" s="2" t="s">
        <v>31</v>
      </c>
      <c r="O15" s="2" t="s">
        <v>127</v>
      </c>
      <c r="P15" s="2">
        <v>16</v>
      </c>
      <c r="Q15" s="2" t="s">
        <v>123</v>
      </c>
      <c r="R15" s="2">
        <v>75.177785714285719</v>
      </c>
      <c r="S15" s="2">
        <v>0.63100000000000001</v>
      </c>
      <c r="T15" s="2">
        <v>7.9303571428571402</v>
      </c>
      <c r="U15" s="2">
        <v>0.67761219999999978</v>
      </c>
      <c r="V15" s="2">
        <v>0.652447</v>
      </c>
      <c r="W15" s="2">
        <v>0.66801299999999997</v>
      </c>
      <c r="X15" s="2">
        <v>17.80395</v>
      </c>
      <c r="Y15" s="2">
        <v>5.31</v>
      </c>
      <c r="Z15" s="2">
        <v>19.470199999999998</v>
      </c>
      <c r="AA15" s="2">
        <v>54.843134999999997</v>
      </c>
      <c r="AB15" s="2">
        <v>74.646000000000001</v>
      </c>
      <c r="AC15" s="2">
        <v>53.1006</v>
      </c>
      <c r="AD15" s="2">
        <f>68.3-65.4</f>
        <v>2.8999999999999915</v>
      </c>
      <c r="AE15" s="2">
        <f>(336.5-211.3)/2</f>
        <v>62.599999999999994</v>
      </c>
      <c r="AF15" s="2">
        <f>58.3-57.4</f>
        <v>0.89999999999999858</v>
      </c>
      <c r="AG15" s="2">
        <v>1.05</v>
      </c>
      <c r="AH15" s="2">
        <v>18.2</v>
      </c>
      <c r="AI15" s="2">
        <v>7.3152699999999996E-3</v>
      </c>
      <c r="AJ15" s="2">
        <f t="shared" si="1"/>
        <v>401.93791208791208</v>
      </c>
      <c r="AK15" s="2" t="s">
        <v>106</v>
      </c>
      <c r="AL15" s="2" t="s">
        <v>116</v>
      </c>
      <c r="AM15" s="2" t="s">
        <v>144</v>
      </c>
      <c r="AN15" s="2" t="s">
        <v>167</v>
      </c>
      <c r="AO15" s="2" t="s">
        <v>211</v>
      </c>
    </row>
    <row r="16" spans="1:41" x14ac:dyDescent="0.35">
      <c r="A16" s="2" t="s">
        <v>168</v>
      </c>
      <c r="B16" s="2" t="s">
        <v>11</v>
      </c>
      <c r="C16" s="2">
        <v>-66</v>
      </c>
      <c r="D16" s="2">
        <v>6.5</v>
      </c>
      <c r="E16" s="2">
        <v>208.11654526534829</v>
      </c>
      <c r="F16" s="2">
        <v>54.04199415641083</v>
      </c>
      <c r="G16" s="2">
        <v>62.355182106987634</v>
      </c>
      <c r="H16" s="2">
        <v>33.906505620627392</v>
      </c>
      <c r="I16" s="2">
        <v>55.834729201563469</v>
      </c>
      <c r="J16" s="2">
        <v>44.247177283085385</v>
      </c>
      <c r="K16" s="2">
        <v>31</v>
      </c>
      <c r="L16" s="2" t="s">
        <v>131</v>
      </c>
      <c r="M16" s="2" t="s">
        <v>131</v>
      </c>
      <c r="N16" s="2" t="s">
        <v>31</v>
      </c>
      <c r="O16" s="2" t="s">
        <v>127</v>
      </c>
      <c r="P16" s="2">
        <v>17</v>
      </c>
      <c r="Q16" s="2" t="s">
        <v>123</v>
      </c>
      <c r="R16" s="2">
        <v>56.959000000000003</v>
      </c>
      <c r="S16" s="2">
        <v>0.64417391304347826</v>
      </c>
      <c r="T16" s="2">
        <v>18.331695652173899</v>
      </c>
      <c r="U16" s="2">
        <v>0.84018899999999996</v>
      </c>
      <c r="V16" s="2">
        <v>0.65088299999999999</v>
      </c>
      <c r="W16" s="2">
        <v>0.78733299999999995</v>
      </c>
      <c r="X16" s="2">
        <v>20.003616521739101</v>
      </c>
      <c r="Y16" s="2">
        <v>15.197699999999999</v>
      </c>
      <c r="Z16" s="2">
        <v>22.338899999999999</v>
      </c>
      <c r="AA16" s="2">
        <v>45.817057142857145</v>
      </c>
      <c r="AB16" s="2">
        <v>58.654800000000002</v>
      </c>
      <c r="AC16" s="2">
        <v>43.457000000000001</v>
      </c>
      <c r="AD16" s="2">
        <f>67-65.8</f>
        <v>1.2000000000000028</v>
      </c>
      <c r="AE16" s="2">
        <f>(332.9-224.3)/2</f>
        <v>54.299999999999983</v>
      </c>
      <c r="AF16" s="2">
        <f>57.1-52</f>
        <v>5.1000000000000014</v>
      </c>
      <c r="AG16" s="2">
        <v>0.55000000000000004</v>
      </c>
      <c r="AH16" s="2">
        <v>66.3</v>
      </c>
      <c r="AI16" s="2">
        <v>1.0279399999999999E-2</v>
      </c>
      <c r="AJ16" s="2">
        <f t="shared" si="1"/>
        <v>155.04374057315235</v>
      </c>
      <c r="AK16" s="2" t="s">
        <v>106</v>
      </c>
      <c r="AL16" s="2" t="s">
        <v>116</v>
      </c>
      <c r="AM16" s="2" t="s">
        <v>144</v>
      </c>
      <c r="AN16" s="2" t="s">
        <v>168</v>
      </c>
      <c r="AO16" s="2" t="s">
        <v>211</v>
      </c>
    </row>
    <row r="17" spans="1:41" x14ac:dyDescent="0.35">
      <c r="A17" s="2" t="s">
        <v>168</v>
      </c>
      <c r="B17" s="2" t="s">
        <v>11</v>
      </c>
      <c r="C17" s="2">
        <v>-63</v>
      </c>
      <c r="D17" s="2">
        <v>6.9</v>
      </c>
      <c r="E17" s="2">
        <v>193.05019305019385</v>
      </c>
      <c r="F17" s="2">
        <v>56.399056118570243</v>
      </c>
      <c r="G17" s="2">
        <v>51.768829679417507</v>
      </c>
      <c r="H17" s="2">
        <v>32.786445091268135</v>
      </c>
      <c r="I17" s="2">
        <v>46.453291215682782</v>
      </c>
      <c r="J17" s="2">
        <v>43.703263184452481</v>
      </c>
      <c r="K17" s="2">
        <v>28</v>
      </c>
      <c r="L17" s="2" t="s">
        <v>144</v>
      </c>
      <c r="M17" s="2" t="s">
        <v>132</v>
      </c>
      <c r="N17" s="2" t="s">
        <v>31</v>
      </c>
      <c r="O17" s="2" t="s">
        <v>127</v>
      </c>
      <c r="P17" s="2">
        <v>17</v>
      </c>
      <c r="Q17" s="2" t="s">
        <v>123</v>
      </c>
      <c r="R17" s="2">
        <v>55.314500000000002</v>
      </c>
      <c r="S17" s="2">
        <v>0.67504545454545462</v>
      </c>
      <c r="T17" s="2">
        <v>14.8399545454545</v>
      </c>
      <c r="U17" s="2">
        <v>0.81201499999999993</v>
      </c>
      <c r="V17" s="2">
        <v>0.72273699999999996</v>
      </c>
      <c r="W17" s="2">
        <v>0.83132499999999998</v>
      </c>
      <c r="X17" s="2">
        <v>19.635019660000001</v>
      </c>
      <c r="Y17" s="2">
        <v>11.53561</v>
      </c>
      <c r="Z17" s="2">
        <v>20.751940000000001</v>
      </c>
      <c r="AA17" s="2">
        <v>42.163089999999997</v>
      </c>
      <c r="AB17" s="2">
        <v>52.795400000000001</v>
      </c>
      <c r="AC17" s="2">
        <v>40.100099999999998</v>
      </c>
      <c r="AD17" s="2">
        <f>66-65</f>
        <v>1</v>
      </c>
      <c r="AE17" s="2">
        <f>(358.9-226.7)/2</f>
        <v>66.099999999999994</v>
      </c>
      <c r="AF17" s="2">
        <f>54-49.8</f>
        <v>4.2000000000000028</v>
      </c>
      <c r="AG17" s="2">
        <v>0.5</v>
      </c>
      <c r="AH17" s="2">
        <v>58.1</v>
      </c>
      <c r="AI17" s="2">
        <v>1.04181E-2</v>
      </c>
      <c r="AJ17" s="2">
        <f t="shared" si="1"/>
        <v>179.31325301204816</v>
      </c>
      <c r="AK17" s="2" t="s">
        <v>106</v>
      </c>
      <c r="AL17" s="2" t="s">
        <v>116</v>
      </c>
      <c r="AM17" s="2" t="s">
        <v>144</v>
      </c>
      <c r="AN17" s="2" t="s">
        <v>168</v>
      </c>
      <c r="AO17" s="2" t="s">
        <v>211</v>
      </c>
    </row>
    <row r="18" spans="1:41" x14ac:dyDescent="0.35">
      <c r="A18" s="2" t="s">
        <v>170</v>
      </c>
      <c r="B18" s="2" t="s">
        <v>12</v>
      </c>
      <c r="C18" s="2">
        <v>-62.8</v>
      </c>
      <c r="D18" s="2">
        <v>7.3</v>
      </c>
      <c r="E18" s="2">
        <v>134.89815189531885</v>
      </c>
      <c r="F18" s="2">
        <v>55.799669353791387</v>
      </c>
      <c r="G18" s="2">
        <v>41.560042559793956</v>
      </c>
      <c r="H18" s="2">
        <v>25.954776267434642</v>
      </c>
      <c r="I18" s="2">
        <v>44.438519308536556</v>
      </c>
      <c r="J18" s="2">
        <v>27.383208217487066</v>
      </c>
      <c r="K18" s="2">
        <v>21</v>
      </c>
      <c r="L18" s="2" t="s">
        <v>131</v>
      </c>
      <c r="M18" s="2" t="s">
        <v>131</v>
      </c>
      <c r="N18" s="2" t="s">
        <v>31</v>
      </c>
      <c r="O18" s="2" t="s">
        <v>127</v>
      </c>
      <c r="P18" s="2">
        <v>20</v>
      </c>
      <c r="Q18" s="2" t="s">
        <v>123</v>
      </c>
      <c r="R18" s="2">
        <v>77.453727272727264</v>
      </c>
      <c r="S18" s="2">
        <v>0.841090909090909</v>
      </c>
      <c r="T18" s="2">
        <v>11.2969090909091</v>
      </c>
      <c r="U18" s="2">
        <v>1.0438750000000001</v>
      </c>
      <c r="V18" s="2">
        <v>0.92854700000000001</v>
      </c>
      <c r="W18" s="2">
        <v>1.0980399999999999</v>
      </c>
      <c r="X18" s="2">
        <v>21.9116</v>
      </c>
      <c r="Y18" s="2">
        <v>10.7422</v>
      </c>
      <c r="Z18" s="2">
        <v>20.4467</v>
      </c>
      <c r="AA18" s="2">
        <v>66.589325000000002</v>
      </c>
      <c r="AB18" s="2">
        <v>80.810500000000005</v>
      </c>
      <c r="AC18" s="2">
        <v>67.443799999999996</v>
      </c>
      <c r="AD18" s="2">
        <f>69.6-64.3</f>
        <v>5.2999999999999972</v>
      </c>
      <c r="AE18" s="2">
        <f>(533-227)/2</f>
        <v>153</v>
      </c>
      <c r="AF18" s="2">
        <f>49.9-44.8</f>
        <v>5.1000000000000014</v>
      </c>
      <c r="AG18" s="2">
        <v>0.2</v>
      </c>
      <c r="AH18" s="2">
        <v>90</v>
      </c>
      <c r="AI18" s="2">
        <v>1.4607200000000001E-2</v>
      </c>
      <c r="AJ18" s="2">
        <f t="shared" si="1"/>
        <v>162.30222222222221</v>
      </c>
      <c r="AK18" s="2" t="s">
        <v>106</v>
      </c>
      <c r="AL18" s="2" t="s">
        <v>116</v>
      </c>
      <c r="AM18" s="2" t="s">
        <v>144</v>
      </c>
      <c r="AN18" s="2" t="s">
        <v>170</v>
      </c>
      <c r="AO18" s="2" t="s">
        <v>212</v>
      </c>
    </row>
    <row r="19" spans="1:41" x14ac:dyDescent="0.35">
      <c r="A19" s="2" t="s">
        <v>170</v>
      </c>
      <c r="B19" s="2" t="s">
        <v>12</v>
      </c>
      <c r="C19" s="2">
        <v>-61.5</v>
      </c>
      <c r="D19" s="2">
        <v>7.7</v>
      </c>
      <c r="E19" s="2">
        <v>146.19883040935665</v>
      </c>
      <c r="F19" s="2">
        <v>56.268893678139662</v>
      </c>
      <c r="G19" s="2">
        <v>44.192142180974059</v>
      </c>
      <c r="H19" s="2">
        <v>27.683191150398088</v>
      </c>
      <c r="I19" s="2">
        <v>43.884671084390156</v>
      </c>
      <c r="J19" s="2">
        <v>27.604297974982504</v>
      </c>
      <c r="K19" s="2">
        <v>22</v>
      </c>
      <c r="L19" s="2" t="s">
        <v>144</v>
      </c>
      <c r="M19" s="2" t="s">
        <v>132</v>
      </c>
      <c r="N19" s="2" t="s">
        <v>31</v>
      </c>
      <c r="O19" s="2" t="s">
        <v>127</v>
      </c>
      <c r="P19" s="2">
        <v>20</v>
      </c>
      <c r="Q19" s="2" t="s">
        <v>123</v>
      </c>
      <c r="R19" s="2">
        <v>81.119562500000001</v>
      </c>
      <c r="S19" s="2">
        <v>0.84056249999999988</v>
      </c>
      <c r="T19" s="2">
        <v>11.241875</v>
      </c>
      <c r="U19" s="2">
        <v>1.3109</v>
      </c>
      <c r="V19" s="2">
        <v>0.91611799999999999</v>
      </c>
      <c r="W19" s="2">
        <v>1.25522</v>
      </c>
      <c r="X19" s="2">
        <v>8.7279999999999998</v>
      </c>
      <c r="Y19" s="2">
        <v>18.005400000000002</v>
      </c>
      <c r="Z19" s="2">
        <v>18.310600000000001</v>
      </c>
      <c r="AA19" s="2">
        <v>61.604811111111104</v>
      </c>
      <c r="AB19" s="2">
        <v>78.063999999999993</v>
      </c>
      <c r="AC19" s="2">
        <v>65.307599999999994</v>
      </c>
      <c r="AD19" s="2">
        <f>67.4-65.2</f>
        <v>2.2000000000000028</v>
      </c>
      <c r="AE19" s="2">
        <f>(537-242.9)/2</f>
        <v>147.05000000000001</v>
      </c>
      <c r="AF19" s="2">
        <f>47-39.8</f>
        <v>7.2000000000000028</v>
      </c>
      <c r="AG19" s="2">
        <v>0.2</v>
      </c>
      <c r="AH19" s="2">
        <v>79.599999999999994</v>
      </c>
      <c r="AI19" s="2">
        <v>1.3454300000000001E-2</v>
      </c>
      <c r="AJ19" s="2">
        <f t="shared" si="1"/>
        <v>169.02386934673368</v>
      </c>
      <c r="AK19" s="2" t="s">
        <v>106</v>
      </c>
      <c r="AL19" s="2" t="s">
        <v>116</v>
      </c>
      <c r="AM19" s="2" t="s">
        <v>144</v>
      </c>
      <c r="AN19" s="2" t="s">
        <v>170</v>
      </c>
      <c r="AO19" s="2" t="s">
        <v>212</v>
      </c>
    </row>
    <row r="20" spans="1:41" x14ac:dyDescent="0.35">
      <c r="A20" s="2" t="s">
        <v>169</v>
      </c>
      <c r="B20" s="2" t="s">
        <v>13</v>
      </c>
      <c r="C20" s="2">
        <v>-63.7</v>
      </c>
      <c r="D20" s="2">
        <v>8.1</v>
      </c>
      <c r="E20" s="2">
        <v>155.11090429657199</v>
      </c>
      <c r="F20" s="2">
        <v>35.250056813639546</v>
      </c>
      <c r="G20" s="2">
        <v>38.592810272423094</v>
      </c>
      <c r="H20" s="2">
        <v>40.553777826400591</v>
      </c>
      <c r="I20" s="2">
        <v>42.215467747382661</v>
      </c>
      <c r="J20" s="2">
        <v>44.249517530125622</v>
      </c>
      <c r="K20" s="2">
        <v>22</v>
      </c>
      <c r="L20" s="2" t="s">
        <v>131</v>
      </c>
      <c r="M20" s="2" t="s">
        <v>131</v>
      </c>
      <c r="N20" s="2" t="s">
        <v>31</v>
      </c>
      <c r="O20" s="2" t="s">
        <v>127</v>
      </c>
      <c r="P20" s="2">
        <v>16</v>
      </c>
      <c r="Q20" s="2" t="s">
        <v>123</v>
      </c>
      <c r="R20" s="2">
        <v>71.102789473684226</v>
      </c>
      <c r="S20" s="2">
        <v>0.54889473684210532</v>
      </c>
      <c r="T20" s="2">
        <v>26.001000000000001</v>
      </c>
      <c r="U20" s="2">
        <v>0.67259066666666667</v>
      </c>
      <c r="V20" s="2">
        <v>0.57211900000000004</v>
      </c>
      <c r="W20" s="2">
        <v>0.73796399999999995</v>
      </c>
      <c r="X20" s="2">
        <v>30.090309999999999</v>
      </c>
      <c r="Y20" s="2">
        <v>29.7241</v>
      </c>
      <c r="Z20" s="2">
        <v>29.7241</v>
      </c>
      <c r="AA20" s="2">
        <v>48.077390000000008</v>
      </c>
      <c r="AB20" s="2">
        <v>70.373500000000007</v>
      </c>
      <c r="AC20" s="2">
        <v>46.325699999999998</v>
      </c>
      <c r="AD20" s="2">
        <f>66.6-64.7</f>
        <v>1.8999999999999915</v>
      </c>
      <c r="AE20" s="2">
        <f>(678.9-237.3)/2</f>
        <v>220.79999999999998</v>
      </c>
      <c r="AF20" s="2">
        <f>53.9-44</f>
        <v>9.8999999999999986</v>
      </c>
      <c r="AG20" s="2">
        <v>0.4</v>
      </c>
      <c r="AH20" s="2">
        <v>29.2</v>
      </c>
      <c r="AI20" s="2">
        <v>1.09766E-2</v>
      </c>
      <c r="AJ20" s="2">
        <f t="shared" si="1"/>
        <v>375.91095890410958</v>
      </c>
      <c r="AK20" s="2">
        <v>1.4</v>
      </c>
      <c r="AL20" s="2" t="s">
        <v>116</v>
      </c>
      <c r="AM20" s="2" t="s">
        <v>144</v>
      </c>
      <c r="AN20" s="2" t="s">
        <v>169</v>
      </c>
      <c r="AO20" s="2" t="s">
        <v>211</v>
      </c>
    </row>
    <row r="21" spans="1:41" x14ac:dyDescent="0.35">
      <c r="A21" s="2" t="s">
        <v>169</v>
      </c>
      <c r="B21" s="2" t="s">
        <v>13</v>
      </c>
      <c r="C21" s="2">
        <v>-63.2</v>
      </c>
      <c r="D21" s="2">
        <v>8.5</v>
      </c>
      <c r="E21" s="2">
        <v>143.32807797047434</v>
      </c>
      <c r="F21" s="2">
        <v>43.133011358916249</v>
      </c>
      <c r="G21" s="2">
        <v>37.447224816210117</v>
      </c>
      <c r="H21" s="2">
        <v>40.940391345006915</v>
      </c>
      <c r="I21" s="2">
        <v>39.766174891637277</v>
      </c>
      <c r="J21" s="2">
        <v>44.505088117934562</v>
      </c>
      <c r="K21" s="2">
        <v>20</v>
      </c>
      <c r="L21" s="2" t="s">
        <v>144</v>
      </c>
      <c r="M21" s="2" t="s">
        <v>132</v>
      </c>
      <c r="N21" s="2" t="s">
        <v>31</v>
      </c>
      <c r="O21" s="2" t="s">
        <v>127</v>
      </c>
      <c r="P21" s="2">
        <v>16</v>
      </c>
      <c r="Q21" s="2" t="s">
        <v>123</v>
      </c>
      <c r="R21" s="2">
        <v>67.031812500000015</v>
      </c>
      <c r="S21" s="2">
        <v>0.60593749999999991</v>
      </c>
      <c r="T21" s="2">
        <v>24.871812500000001</v>
      </c>
      <c r="U21" s="2">
        <v>0.65931055555555551</v>
      </c>
      <c r="V21" s="2">
        <v>0.59317600000000004</v>
      </c>
      <c r="W21" s="2">
        <v>0.68055500000000002</v>
      </c>
      <c r="X21" s="2">
        <v>31.656888888888901</v>
      </c>
      <c r="Y21" s="2">
        <v>31.1279</v>
      </c>
      <c r="Z21" s="2">
        <v>31.1279</v>
      </c>
      <c r="AA21" s="2">
        <v>53.561744444444443</v>
      </c>
      <c r="AB21" s="2">
        <v>68.664599999999993</v>
      </c>
      <c r="AC21" s="2">
        <v>52.185099999999998</v>
      </c>
      <c r="AD21" s="2">
        <f>66.7-64.7</f>
        <v>2</v>
      </c>
      <c r="AE21" s="2">
        <f>(556.6-234.7)/2</f>
        <v>160.95000000000002</v>
      </c>
      <c r="AF21" s="2">
        <f>52-42.5</f>
        <v>9.5</v>
      </c>
      <c r="AG21" s="2">
        <v>0.45</v>
      </c>
      <c r="AH21" s="2">
        <v>30</v>
      </c>
      <c r="AI21" s="2">
        <v>9.8084599999999997E-3</v>
      </c>
      <c r="AJ21" s="2">
        <f t="shared" si="1"/>
        <v>326.94866666666667</v>
      </c>
      <c r="AK21" s="2">
        <v>1.9</v>
      </c>
      <c r="AL21" s="2" t="s">
        <v>116</v>
      </c>
      <c r="AM21" s="2" t="s">
        <v>144</v>
      </c>
      <c r="AN21" s="2" t="s">
        <v>169</v>
      </c>
      <c r="AO21" s="2" t="s">
        <v>211</v>
      </c>
    </row>
    <row r="22" spans="1:41" x14ac:dyDescent="0.35">
      <c r="A22" s="2" t="s">
        <v>169</v>
      </c>
      <c r="B22" s="2" t="s">
        <v>14</v>
      </c>
      <c r="C22" s="2">
        <v>-64.8</v>
      </c>
      <c r="D22" s="2">
        <v>8.9</v>
      </c>
      <c r="E22" s="2">
        <v>173.70158068438408</v>
      </c>
      <c r="F22" s="2">
        <v>82.631772698260249</v>
      </c>
      <c r="G22" s="2">
        <v>59.329903879629143</v>
      </c>
      <c r="H22" s="2">
        <v>15.872751831452383</v>
      </c>
      <c r="I22" s="2">
        <v>46.16805170821798</v>
      </c>
      <c r="J22" s="2">
        <v>16.028277554362933</v>
      </c>
      <c r="K22" s="2">
        <v>26</v>
      </c>
      <c r="L22" s="2" t="s">
        <v>131</v>
      </c>
      <c r="M22" s="2" t="s">
        <v>131</v>
      </c>
      <c r="N22" s="2" t="s">
        <v>31</v>
      </c>
      <c r="O22" s="2" t="s">
        <v>127</v>
      </c>
      <c r="P22" s="2">
        <v>16</v>
      </c>
      <c r="Q22" s="2" t="s">
        <v>123</v>
      </c>
      <c r="R22" s="2">
        <v>83.698000000000008</v>
      </c>
      <c r="S22" s="2">
        <v>0.71996153846153854</v>
      </c>
      <c r="T22" s="2">
        <v>15.6132692307692</v>
      </c>
      <c r="U22" s="2">
        <v>0.85003800000000007</v>
      </c>
      <c r="V22" s="2">
        <v>0.98715600000000003</v>
      </c>
      <c r="W22" s="2">
        <v>0.86593399999999998</v>
      </c>
      <c r="X22" s="2">
        <v>18.173208333333299</v>
      </c>
      <c r="Y22" s="2">
        <v>13.793900000000001</v>
      </c>
      <c r="Z22" s="2">
        <v>19.592300000000002</v>
      </c>
      <c r="AA22" s="2">
        <v>68.976522222222215</v>
      </c>
      <c r="AB22" s="2" t="s">
        <v>106</v>
      </c>
      <c r="AC22" s="2">
        <v>67.504900000000006</v>
      </c>
      <c r="AD22" s="2">
        <f>69.6-66.1</f>
        <v>3.5</v>
      </c>
      <c r="AE22" s="2">
        <f>(395.8-224.4)/2</f>
        <v>85.7</v>
      </c>
      <c r="AF22" s="2">
        <f>56.7-50.4</f>
        <v>6.3000000000000043</v>
      </c>
      <c r="AG22" s="2">
        <v>0.56000000000000005</v>
      </c>
      <c r="AH22" s="2">
        <v>25.1</v>
      </c>
      <c r="AI22" s="2">
        <v>8.9708900000000005E-3</v>
      </c>
      <c r="AJ22" s="2">
        <f t="shared" si="1"/>
        <v>357.40597609561752</v>
      </c>
      <c r="AK22" s="2" t="s">
        <v>106</v>
      </c>
      <c r="AL22" s="2" t="s">
        <v>116</v>
      </c>
      <c r="AM22" s="2" t="s">
        <v>144</v>
      </c>
      <c r="AN22" s="2" t="s">
        <v>169</v>
      </c>
      <c r="AO22" s="2" t="s">
        <v>211</v>
      </c>
    </row>
    <row r="23" spans="1:41" x14ac:dyDescent="0.35">
      <c r="A23" s="2" t="s">
        <v>169</v>
      </c>
      <c r="B23" s="2" t="s">
        <v>14</v>
      </c>
      <c r="C23" s="2">
        <v>-66.099999999999994</v>
      </c>
      <c r="D23" s="2">
        <v>9.3000000000000007</v>
      </c>
      <c r="E23" s="2">
        <v>165.70008285004153</v>
      </c>
      <c r="F23" s="2">
        <v>78.527100441811058</v>
      </c>
      <c r="G23" s="2">
        <v>56.469881834529218</v>
      </c>
      <c r="H23" s="2">
        <v>19.317241801967455</v>
      </c>
      <c r="I23" s="2">
        <v>42.069835927639915</v>
      </c>
      <c r="J23" s="2">
        <v>17.030898192088593</v>
      </c>
      <c r="K23" s="2">
        <v>25</v>
      </c>
      <c r="L23" s="2" t="s">
        <v>144</v>
      </c>
      <c r="M23" s="2" t="s">
        <v>132</v>
      </c>
      <c r="N23" s="2" t="s">
        <v>31</v>
      </c>
      <c r="O23" s="2" t="s">
        <v>127</v>
      </c>
      <c r="P23" s="2">
        <v>16</v>
      </c>
      <c r="Q23" s="2" t="s">
        <v>123</v>
      </c>
      <c r="R23" s="2">
        <v>82.477230769230744</v>
      </c>
      <c r="S23" s="2">
        <v>0.74942307692307708</v>
      </c>
      <c r="T23" s="2">
        <v>16.244692307692301</v>
      </c>
      <c r="U23" s="2">
        <v>0.9209670909090909</v>
      </c>
      <c r="V23" s="2">
        <v>1.22082</v>
      </c>
      <c r="W23" s="2">
        <v>0.85364700000000004</v>
      </c>
      <c r="X23" s="2">
        <v>20.147152727272701</v>
      </c>
      <c r="Y23" s="2">
        <v>12.023899999999999</v>
      </c>
      <c r="Z23" s="2">
        <v>27.343699999999998</v>
      </c>
      <c r="AA23" s="2">
        <v>63.76509999999999</v>
      </c>
      <c r="AB23" s="2" t="s">
        <v>106</v>
      </c>
      <c r="AC23" s="2">
        <v>55.725099999999998</v>
      </c>
      <c r="AD23" s="2">
        <f>68.9-65.2</f>
        <v>3.7000000000000028</v>
      </c>
      <c r="AE23" s="2">
        <f>(393.9-225.2)/2</f>
        <v>84.35</v>
      </c>
      <c r="AF23" s="2">
        <f>56-49.3</f>
        <v>6.7000000000000028</v>
      </c>
      <c r="AG23" s="2">
        <v>0.66</v>
      </c>
      <c r="AH23" s="2">
        <v>35</v>
      </c>
      <c r="AI23" s="2">
        <v>9.3439200000000004E-3</v>
      </c>
      <c r="AJ23" s="2">
        <f t="shared" si="1"/>
        <v>266.96914285714286</v>
      </c>
      <c r="AK23" s="2" t="s">
        <v>106</v>
      </c>
      <c r="AL23" s="2" t="s">
        <v>116</v>
      </c>
      <c r="AM23" s="2" t="s">
        <v>144</v>
      </c>
      <c r="AN23" s="2" t="s">
        <v>169</v>
      </c>
      <c r="AO23" s="2" t="s">
        <v>211</v>
      </c>
    </row>
    <row r="24" spans="1:41" x14ac:dyDescent="0.35">
      <c r="A24" s="2" t="s">
        <v>157</v>
      </c>
      <c r="B24" s="2" t="s">
        <v>15</v>
      </c>
      <c r="C24" s="2">
        <v>-66.8</v>
      </c>
      <c r="D24" s="2">
        <v>9.6999999999999993</v>
      </c>
      <c r="E24" s="2">
        <v>131.45786775338505</v>
      </c>
      <c r="F24" s="2">
        <v>22.972014244629033</v>
      </c>
      <c r="G24" s="2">
        <v>48.470725764435485</v>
      </c>
      <c r="H24" s="2">
        <v>24.304709512413556</v>
      </c>
      <c r="I24" s="2">
        <v>46.468401486988888</v>
      </c>
      <c r="J24" s="2">
        <v>27.390450173018223</v>
      </c>
      <c r="K24" s="2">
        <v>25</v>
      </c>
      <c r="L24" s="2" t="s">
        <v>131</v>
      </c>
      <c r="M24" s="2" t="s">
        <v>131</v>
      </c>
      <c r="N24" s="2" t="s">
        <v>31</v>
      </c>
      <c r="O24" s="2" t="s">
        <v>127</v>
      </c>
      <c r="P24" s="2">
        <v>18</v>
      </c>
      <c r="Q24" s="2" t="s">
        <v>123</v>
      </c>
      <c r="R24" s="2">
        <v>88.030500000000018</v>
      </c>
      <c r="S24" s="2">
        <v>0.83754166666666652</v>
      </c>
      <c r="T24" s="2">
        <v>14.2057916666667</v>
      </c>
      <c r="U24" s="2">
        <v>1.2563822727272727</v>
      </c>
      <c r="V24" s="2">
        <v>0.92462999999999995</v>
      </c>
      <c r="W24" s="2">
        <v>1.09483</v>
      </c>
      <c r="X24" s="2">
        <v>19.724978260869602</v>
      </c>
      <c r="Y24" s="2">
        <v>10.1318</v>
      </c>
      <c r="Z24" s="2">
        <v>28.3203</v>
      </c>
      <c r="AA24" s="2">
        <v>51.17798181818182</v>
      </c>
      <c r="AB24" s="2">
        <v>83.190899999999999</v>
      </c>
      <c r="AC24" s="2">
        <v>44.738799999999998</v>
      </c>
      <c r="AD24" s="2">
        <f>67-66.5</f>
        <v>0.5</v>
      </c>
      <c r="AE24" s="2">
        <f>(590.3-252.7)/2</f>
        <v>168.79999999999998</v>
      </c>
      <c r="AF24" s="2">
        <f>58.6-51.9</f>
        <v>6.7000000000000028</v>
      </c>
      <c r="AG24" s="2">
        <v>0.45</v>
      </c>
      <c r="AH24" s="2">
        <v>45</v>
      </c>
      <c r="AI24" s="2">
        <v>9.4725E-3</v>
      </c>
      <c r="AJ24" s="2">
        <f t="shared" si="1"/>
        <v>210.5</v>
      </c>
      <c r="AK24" s="2">
        <v>2.6</v>
      </c>
      <c r="AL24" s="2" t="s">
        <v>116</v>
      </c>
      <c r="AM24" s="2" t="s">
        <v>144</v>
      </c>
      <c r="AN24" s="2" t="s">
        <v>157</v>
      </c>
      <c r="AO24" s="2" t="s">
        <v>211</v>
      </c>
    </row>
    <row r="25" spans="1:41" x14ac:dyDescent="0.35">
      <c r="A25" s="2" t="s">
        <v>157</v>
      </c>
      <c r="B25" s="2" t="s">
        <v>15</v>
      </c>
      <c r="C25" s="2">
        <v>-68.2</v>
      </c>
      <c r="D25" s="2">
        <v>10.1</v>
      </c>
      <c r="E25" s="2">
        <v>123.07692307692308</v>
      </c>
      <c r="F25" s="2">
        <v>29.910804104352486</v>
      </c>
      <c r="G25" s="2">
        <v>46.70825006024792</v>
      </c>
      <c r="H25" s="2">
        <v>23.375623990028995</v>
      </c>
      <c r="I25" s="2">
        <v>41.573127130622808</v>
      </c>
      <c r="J25" s="2">
        <v>23.864019799338404</v>
      </c>
      <c r="K25" s="2">
        <v>24</v>
      </c>
      <c r="L25" s="2" t="s">
        <v>144</v>
      </c>
      <c r="M25" s="2" t="s">
        <v>132</v>
      </c>
      <c r="N25" s="2" t="s">
        <v>31</v>
      </c>
      <c r="O25" s="2" t="s">
        <v>127</v>
      </c>
      <c r="P25" s="2">
        <v>18</v>
      </c>
      <c r="Q25" s="2" t="s">
        <v>123</v>
      </c>
      <c r="R25" s="2">
        <v>87.3299375</v>
      </c>
      <c r="S25" s="2">
        <v>0.85312500000000013</v>
      </c>
      <c r="T25" s="2">
        <v>14.293687500000001</v>
      </c>
      <c r="U25" s="2">
        <v>1.4020709090909091</v>
      </c>
      <c r="V25" s="2">
        <v>1.28539</v>
      </c>
      <c r="W25" s="2">
        <v>1.2167600000000001</v>
      </c>
      <c r="X25" s="2">
        <v>18.2946130434783</v>
      </c>
      <c r="Y25" s="2">
        <v>21.301300000000001</v>
      </c>
      <c r="Z25" s="2">
        <v>20.3857</v>
      </c>
      <c r="AA25" s="2">
        <v>43.826013636363641</v>
      </c>
      <c r="AB25" s="2">
        <v>109.619</v>
      </c>
      <c r="AC25" s="2">
        <v>35.827599999999997</v>
      </c>
      <c r="AD25" s="2">
        <f>67.6-67.3</f>
        <v>0.29999999999999716</v>
      </c>
      <c r="AE25" s="2">
        <f>(544.3-259.7)/2</f>
        <v>142.29999999999998</v>
      </c>
      <c r="AF25" s="2">
        <f>57.7-51.4</f>
        <v>6.3000000000000043</v>
      </c>
      <c r="AG25" s="2">
        <v>0.7</v>
      </c>
      <c r="AH25" s="2">
        <v>32</v>
      </c>
      <c r="AI25" s="2">
        <v>9.52304E-3</v>
      </c>
      <c r="AJ25" s="2">
        <f t="shared" si="1"/>
        <v>297.59500000000003</v>
      </c>
      <c r="AK25" s="2">
        <v>2.6</v>
      </c>
      <c r="AL25" s="2" t="s">
        <v>116</v>
      </c>
      <c r="AM25" s="2" t="s">
        <v>144</v>
      </c>
      <c r="AN25" s="2" t="s">
        <v>157</v>
      </c>
      <c r="AO25" s="2" t="s">
        <v>211</v>
      </c>
    </row>
    <row r="26" spans="1:41" x14ac:dyDescent="0.35">
      <c r="A26" s="2" t="s">
        <v>157</v>
      </c>
      <c r="B26" s="2" t="s">
        <v>16</v>
      </c>
      <c r="C26" s="2">
        <v>-66.7</v>
      </c>
      <c r="D26" s="2">
        <v>10.5</v>
      </c>
      <c r="E26" s="2">
        <v>122.29423994129846</v>
      </c>
      <c r="F26" s="2">
        <v>25.073554485318375</v>
      </c>
      <c r="G26" s="2">
        <v>27.742832336762227</v>
      </c>
      <c r="H26" s="2">
        <v>31.390466489986544</v>
      </c>
      <c r="I26" s="2">
        <v>26.093990553975434</v>
      </c>
      <c r="J26" s="2">
        <v>29.144428509796089</v>
      </c>
      <c r="K26" s="2">
        <v>16</v>
      </c>
      <c r="L26" s="2" t="s">
        <v>131</v>
      </c>
      <c r="M26" s="2" t="s">
        <v>131</v>
      </c>
      <c r="N26" s="2" t="s">
        <v>31</v>
      </c>
      <c r="O26" s="2" t="s">
        <v>127</v>
      </c>
      <c r="P26" s="2">
        <v>18</v>
      </c>
      <c r="Q26" s="2" t="s">
        <v>123</v>
      </c>
      <c r="R26" s="2">
        <v>75.925766666666675</v>
      </c>
      <c r="S26" s="2">
        <v>0.71176666666666633</v>
      </c>
      <c r="T26" s="2">
        <v>22.349066666666701</v>
      </c>
      <c r="U26" s="2">
        <v>0.84082659999999998</v>
      </c>
      <c r="V26" s="2">
        <v>0.70885699999999996</v>
      </c>
      <c r="W26" s="2">
        <v>0.85597999999999996</v>
      </c>
      <c r="X26" s="2">
        <v>33.154299999999999</v>
      </c>
      <c r="Y26" s="2">
        <v>21.057099999999998</v>
      </c>
      <c r="Z26" s="2">
        <v>31.982399999999998</v>
      </c>
      <c r="AA26" s="2">
        <v>48.522940000000006</v>
      </c>
      <c r="AB26" s="2">
        <v>76.721199999999996</v>
      </c>
      <c r="AC26" s="2">
        <v>50.598100000000002</v>
      </c>
      <c r="AD26" s="2">
        <f>68.3-67.9</f>
        <v>0.39999999999999147</v>
      </c>
      <c r="AE26" s="2">
        <f>(845-279)/2</f>
        <v>283</v>
      </c>
      <c r="AF26" s="2">
        <f>57.8-46.7</f>
        <v>11.099999999999994</v>
      </c>
      <c r="AG26" s="2">
        <v>0.85</v>
      </c>
      <c r="AH26" s="2">
        <v>24</v>
      </c>
      <c r="AI26" s="2">
        <v>8.2992799999999992E-3</v>
      </c>
      <c r="AJ26" s="2">
        <f t="shared" si="1"/>
        <v>345.80333333333334</v>
      </c>
      <c r="AK26" s="2">
        <v>1.8</v>
      </c>
      <c r="AL26" s="2" t="s">
        <v>116</v>
      </c>
      <c r="AM26" s="2" t="s">
        <v>144</v>
      </c>
      <c r="AN26" s="2" t="s">
        <v>157</v>
      </c>
      <c r="AO26" s="2" t="s">
        <v>211</v>
      </c>
    </row>
    <row r="27" spans="1:41" x14ac:dyDescent="0.35">
      <c r="A27" s="2" t="s">
        <v>157</v>
      </c>
      <c r="B27" s="2" t="s">
        <v>16</v>
      </c>
      <c r="C27" s="2">
        <v>-64.8</v>
      </c>
      <c r="D27" s="2">
        <v>10.9</v>
      </c>
      <c r="E27" s="2">
        <v>108.14318157240203</v>
      </c>
      <c r="F27" s="2">
        <v>55.492239578954283</v>
      </c>
      <c r="G27" s="2">
        <v>29.488477279877394</v>
      </c>
      <c r="H27" s="2">
        <v>25.535478803256773</v>
      </c>
      <c r="I27" s="2">
        <v>31.321452062517597</v>
      </c>
      <c r="J27" s="2">
        <v>25.470204015466916</v>
      </c>
      <c r="K27" s="2">
        <v>17</v>
      </c>
      <c r="L27" s="2" t="s">
        <v>144</v>
      </c>
      <c r="M27" s="2" t="s">
        <v>132</v>
      </c>
      <c r="N27" s="2" t="s">
        <v>31</v>
      </c>
      <c r="O27" s="2" t="s">
        <v>127</v>
      </c>
      <c r="P27" s="2">
        <v>18</v>
      </c>
      <c r="Q27" s="2" t="s">
        <v>123</v>
      </c>
      <c r="R27" s="2">
        <v>73.038733333333354</v>
      </c>
      <c r="S27" s="2">
        <v>0.83173333333333344</v>
      </c>
      <c r="T27" s="2">
        <v>21.270800000000001</v>
      </c>
      <c r="U27" s="2">
        <v>0.86180533333333331</v>
      </c>
      <c r="V27" s="2">
        <v>0.80068499999999998</v>
      </c>
      <c r="W27" s="2">
        <v>0.85696099999999997</v>
      </c>
      <c r="X27" s="2">
        <v>29.9682666666667</v>
      </c>
      <c r="Y27" s="2">
        <v>20.873999999999999</v>
      </c>
      <c r="Z27" s="2">
        <v>31.128</v>
      </c>
      <c r="AA27" s="2">
        <v>60.323066666666669</v>
      </c>
      <c r="AB27" s="2">
        <v>73.608400000000003</v>
      </c>
      <c r="AC27" s="2">
        <v>59.204099999999997</v>
      </c>
      <c r="AD27" s="2">
        <f>67.7-66.8</f>
        <v>0.90000000000000568</v>
      </c>
      <c r="AE27" s="2">
        <f>(758-248)/2</f>
        <v>255</v>
      </c>
      <c r="AF27" s="2">
        <f>56.5-48</f>
        <v>8.5</v>
      </c>
      <c r="AG27" s="2">
        <v>0.68</v>
      </c>
      <c r="AH27" s="2">
        <v>32.799999999999997</v>
      </c>
      <c r="AI27" s="2">
        <v>1.01466E-2</v>
      </c>
      <c r="AJ27" s="2">
        <f t="shared" si="1"/>
        <v>309.34756097560978</v>
      </c>
      <c r="AK27" s="2">
        <v>2.9</v>
      </c>
      <c r="AL27" s="2" t="s">
        <v>116</v>
      </c>
      <c r="AM27" s="2" t="s">
        <v>144</v>
      </c>
      <c r="AN27" s="2" t="s">
        <v>157</v>
      </c>
      <c r="AO27" s="2" t="s">
        <v>211</v>
      </c>
    </row>
    <row r="28" spans="1:41" x14ac:dyDescent="0.35">
      <c r="A28" s="2" t="s">
        <v>17</v>
      </c>
      <c r="B28" s="2" t="s">
        <v>17</v>
      </c>
      <c r="C28" s="2">
        <v>-65.900000000000006</v>
      </c>
      <c r="D28" s="2">
        <v>11.3</v>
      </c>
      <c r="E28" s="2">
        <v>166.66666666666666</v>
      </c>
      <c r="F28" s="2">
        <v>38.476853412192213</v>
      </c>
      <c r="G28" s="2">
        <v>58.446659395633596</v>
      </c>
      <c r="H28" s="2">
        <v>41.582168489019075</v>
      </c>
      <c r="I28" s="2">
        <v>58.469274396304904</v>
      </c>
      <c r="J28" s="2">
        <v>50.593501225089064</v>
      </c>
      <c r="K28" s="2">
        <v>32</v>
      </c>
      <c r="L28" s="2" t="s">
        <v>131</v>
      </c>
      <c r="M28" s="2" t="s">
        <v>131</v>
      </c>
      <c r="N28" s="2" t="s">
        <v>31</v>
      </c>
      <c r="O28" s="2" t="s">
        <v>127</v>
      </c>
      <c r="P28" s="2">
        <v>17</v>
      </c>
      <c r="Q28" s="2" t="s">
        <v>123</v>
      </c>
      <c r="R28" s="2">
        <v>72.314549999999997</v>
      </c>
      <c r="S28" s="2">
        <v>0.87854999999999994</v>
      </c>
      <c r="T28" s="2">
        <v>11.254799999999999</v>
      </c>
      <c r="U28" s="2">
        <v>1.2254795000000001</v>
      </c>
      <c r="V28" s="2">
        <v>0.93564099999999994</v>
      </c>
      <c r="W28" s="2">
        <v>1.31582</v>
      </c>
      <c r="X28" s="2">
        <v>16.998294999999999</v>
      </c>
      <c r="Y28" s="2">
        <v>7.2020999999999997</v>
      </c>
      <c r="Z28" s="2">
        <v>17.456</v>
      </c>
      <c r="AA28" s="2">
        <v>46.295155000000008</v>
      </c>
      <c r="AB28" s="2">
        <v>72.998000000000005</v>
      </c>
      <c r="AC28" s="2">
        <v>42.785600000000002</v>
      </c>
      <c r="AD28" s="2">
        <f>67.1-65.4</f>
        <v>1.6999999999999886</v>
      </c>
      <c r="AE28" s="2">
        <f>(447-232)/2</f>
        <v>107.5</v>
      </c>
      <c r="AF28" s="2">
        <f>56.2-50.8</f>
        <v>5.4000000000000057</v>
      </c>
      <c r="AG28" s="2">
        <v>3.6</v>
      </c>
      <c r="AH28" s="2">
        <v>49.8</v>
      </c>
      <c r="AI28" s="2">
        <v>1.05255E-2</v>
      </c>
      <c r="AJ28" s="2">
        <f t="shared" si="1"/>
        <v>211.35542168674701</v>
      </c>
      <c r="AK28" s="2">
        <v>1.6</v>
      </c>
      <c r="AL28" s="2" t="s">
        <v>116</v>
      </c>
      <c r="AM28" s="2" t="s">
        <v>144</v>
      </c>
      <c r="AN28" s="2" t="s">
        <v>17</v>
      </c>
      <c r="AO28" s="2" t="s">
        <v>212</v>
      </c>
    </row>
    <row r="29" spans="1:41" x14ac:dyDescent="0.35">
      <c r="A29" s="2" t="s">
        <v>17</v>
      </c>
      <c r="B29" s="2" t="s">
        <v>17</v>
      </c>
      <c r="C29" s="2">
        <v>-66.599999999999994</v>
      </c>
      <c r="D29" s="2">
        <v>11.7</v>
      </c>
      <c r="E29" s="2">
        <v>161.68148746968467</v>
      </c>
      <c r="F29" s="2">
        <v>32.981358769556124</v>
      </c>
      <c r="G29" s="2">
        <v>56.072354975893063</v>
      </c>
      <c r="H29" s="2">
        <v>43.655571817504821</v>
      </c>
      <c r="I29" s="2">
        <v>50.370221125270575</v>
      </c>
      <c r="J29" s="2">
        <v>47.937887929280706</v>
      </c>
      <c r="K29" s="2">
        <v>29</v>
      </c>
      <c r="L29" s="2" t="s">
        <v>144</v>
      </c>
      <c r="M29" s="2" t="s">
        <v>132</v>
      </c>
      <c r="N29" s="2" t="s">
        <v>31</v>
      </c>
      <c r="O29" s="2" t="s">
        <v>127</v>
      </c>
      <c r="P29" s="2">
        <v>17</v>
      </c>
      <c r="Q29" s="2" t="s">
        <v>123</v>
      </c>
      <c r="R29" s="2">
        <v>69.315555555555576</v>
      </c>
      <c r="S29" s="2">
        <v>0.90022222222222226</v>
      </c>
      <c r="T29" s="2">
        <v>11.077833333333301</v>
      </c>
      <c r="U29" s="2">
        <v>1.2418959999999999</v>
      </c>
      <c r="V29" s="2">
        <v>0.98744699999999996</v>
      </c>
      <c r="W29" s="2">
        <v>1.28722</v>
      </c>
      <c r="X29" s="2">
        <v>18.017569000000002</v>
      </c>
      <c r="Y29" s="2">
        <v>4.5776000000000003</v>
      </c>
      <c r="Z29" s="2">
        <v>18.371600000000001</v>
      </c>
      <c r="AA29" s="2">
        <v>43.066404999999989</v>
      </c>
      <c r="AB29" s="2">
        <v>70.800799999999995</v>
      </c>
      <c r="AC29" s="2">
        <v>40.222200000000001</v>
      </c>
      <c r="AD29" s="2">
        <f>66.3-65.2</f>
        <v>1.0999999999999943</v>
      </c>
      <c r="AE29" s="2">
        <f>(497-239.7)/2</f>
        <v>128.65</v>
      </c>
      <c r="AF29" s="2">
        <f>53.66-48</f>
        <v>5.6599999999999966</v>
      </c>
      <c r="AG29" s="2">
        <v>3.4</v>
      </c>
      <c r="AH29" s="2">
        <v>53.8</v>
      </c>
      <c r="AI29" s="2">
        <v>1.16749E-2</v>
      </c>
      <c r="AJ29" s="2">
        <f t="shared" si="1"/>
        <v>217.00557620817847</v>
      </c>
      <c r="AK29" s="2">
        <v>1.7</v>
      </c>
      <c r="AL29" s="2" t="s">
        <v>116</v>
      </c>
      <c r="AM29" s="2" t="s">
        <v>144</v>
      </c>
      <c r="AN29" s="2" t="s">
        <v>17</v>
      </c>
      <c r="AO29" s="2" t="s">
        <v>212</v>
      </c>
    </row>
    <row r="30" spans="1:41" x14ac:dyDescent="0.35">
      <c r="A30" s="2" t="s">
        <v>17</v>
      </c>
      <c r="B30" s="2" t="s">
        <v>18</v>
      </c>
      <c r="C30" s="2">
        <v>-62.5</v>
      </c>
      <c r="D30" s="2">
        <v>12.1</v>
      </c>
      <c r="E30" s="2">
        <v>152.09125475285131</v>
      </c>
      <c r="F30" s="2">
        <v>214.06466462208613</v>
      </c>
      <c r="G30" s="2">
        <v>51.463062275003089</v>
      </c>
      <c r="H30" s="2">
        <v>208.79832061288369</v>
      </c>
      <c r="I30" s="2">
        <v>43.757931125016285</v>
      </c>
      <c r="J30" s="2">
        <v>219.15619323102865</v>
      </c>
      <c r="K30" s="2">
        <v>26</v>
      </c>
      <c r="L30" s="2" t="s">
        <v>131</v>
      </c>
      <c r="M30" s="2" t="s">
        <v>131</v>
      </c>
      <c r="N30" s="2" t="s">
        <v>31</v>
      </c>
      <c r="O30" s="2" t="s">
        <v>127</v>
      </c>
      <c r="P30" s="2">
        <v>17</v>
      </c>
      <c r="Q30" s="2" t="s">
        <v>123</v>
      </c>
      <c r="R30" s="2">
        <v>72.591133333333318</v>
      </c>
      <c r="S30" s="2">
        <v>0.76913333333333322</v>
      </c>
      <c r="T30" s="2">
        <v>20.324733333333299</v>
      </c>
      <c r="U30" s="2">
        <v>0.86694099999999996</v>
      </c>
      <c r="V30" s="2">
        <v>0.80661000000000005</v>
      </c>
      <c r="W30" s="2">
        <v>0.87162399999999995</v>
      </c>
      <c r="X30" s="2">
        <v>26.433800000000002</v>
      </c>
      <c r="Y30" s="2">
        <v>17.0898</v>
      </c>
      <c r="Z30" s="2">
        <v>26.855499999999999</v>
      </c>
      <c r="AA30" s="2">
        <v>59.365027272727268</v>
      </c>
      <c r="AB30" s="2">
        <v>70.434600000000003</v>
      </c>
      <c r="AC30" s="2">
        <v>59.631300000000003</v>
      </c>
      <c r="AD30" s="2" t="s">
        <v>106</v>
      </c>
      <c r="AE30" s="2" t="s">
        <v>106</v>
      </c>
      <c r="AF30" s="2" t="s">
        <v>106</v>
      </c>
      <c r="AG30" s="2">
        <v>0.17</v>
      </c>
      <c r="AH30" s="2">
        <v>65.7</v>
      </c>
      <c r="AI30" s="2">
        <v>1.6668499999999999E-2</v>
      </c>
      <c r="AJ30" s="2">
        <f t="shared" si="1"/>
        <v>253.70624048706236</v>
      </c>
      <c r="AK30" s="2" t="s">
        <v>106</v>
      </c>
      <c r="AL30" s="2" t="s">
        <v>116</v>
      </c>
      <c r="AM30" s="2" t="s">
        <v>144</v>
      </c>
      <c r="AN30" s="2" t="s">
        <v>17</v>
      </c>
      <c r="AO30" s="2" t="s">
        <v>212</v>
      </c>
    </row>
    <row r="31" spans="1:41" x14ac:dyDescent="0.35">
      <c r="A31" s="2" t="s">
        <v>17</v>
      </c>
      <c r="B31" s="2" t="s">
        <v>18</v>
      </c>
      <c r="C31" s="2">
        <v>-63.2</v>
      </c>
      <c r="D31" s="2">
        <v>12.5</v>
      </c>
      <c r="E31" s="2">
        <v>139.08205841446457</v>
      </c>
      <c r="F31" s="2">
        <v>258.9586712980103</v>
      </c>
      <c r="G31" s="2">
        <v>39.77363824710082</v>
      </c>
      <c r="H31" s="2">
        <v>157.67983493422179</v>
      </c>
      <c r="I31" s="2">
        <v>36.036036036036037</v>
      </c>
      <c r="J31" s="2">
        <v>165.25194817039306</v>
      </c>
      <c r="K31" s="2">
        <v>22</v>
      </c>
      <c r="L31" s="2" t="s">
        <v>144</v>
      </c>
      <c r="M31" s="2" t="s">
        <v>132</v>
      </c>
      <c r="N31" s="2" t="s">
        <v>31</v>
      </c>
      <c r="O31" s="2" t="s">
        <v>127</v>
      </c>
      <c r="P31" s="2">
        <v>17</v>
      </c>
      <c r="Q31" s="2" t="s">
        <v>123</v>
      </c>
      <c r="R31" s="2">
        <v>62.988</v>
      </c>
      <c r="S31" s="2">
        <v>0.84499999999999997</v>
      </c>
      <c r="T31" s="2">
        <v>18.187999999999999</v>
      </c>
      <c r="U31" s="2">
        <v>0.835684125</v>
      </c>
      <c r="V31" s="2">
        <v>0.81016999999999995</v>
      </c>
      <c r="W31" s="2">
        <v>0.88237699999999997</v>
      </c>
      <c r="X31" s="2">
        <v>28.396619999999999</v>
      </c>
      <c r="Y31" s="2">
        <v>19.897500000000001</v>
      </c>
      <c r="Z31" s="2">
        <v>25.1465</v>
      </c>
      <c r="AA31" s="2">
        <v>58.502199999999995</v>
      </c>
      <c r="AB31" s="2">
        <v>63.049300000000002</v>
      </c>
      <c r="AC31" s="2">
        <v>61.218299999999999</v>
      </c>
      <c r="AD31" s="2" t="s">
        <v>106</v>
      </c>
      <c r="AE31" s="2" t="s">
        <v>106</v>
      </c>
      <c r="AF31" s="2" t="s">
        <v>106</v>
      </c>
      <c r="AG31" s="2">
        <v>0.17</v>
      </c>
      <c r="AH31" s="2">
        <v>60</v>
      </c>
      <c r="AI31" s="2">
        <v>1.6668499999999999E-2</v>
      </c>
      <c r="AJ31" s="2">
        <f t="shared" si="1"/>
        <v>277.80833333333334</v>
      </c>
      <c r="AK31" s="2" t="s">
        <v>106</v>
      </c>
      <c r="AL31" s="2" t="s">
        <v>116</v>
      </c>
      <c r="AM31" s="2" t="s">
        <v>144</v>
      </c>
      <c r="AN31" s="2" t="s">
        <v>17</v>
      </c>
      <c r="AO31" s="2" t="s">
        <v>212</v>
      </c>
    </row>
    <row r="32" spans="1:41" x14ac:dyDescent="0.35">
      <c r="A32" s="2" t="s">
        <v>158</v>
      </c>
      <c r="B32" s="2" t="s">
        <v>19</v>
      </c>
      <c r="C32" s="2">
        <v>-65</v>
      </c>
      <c r="D32" s="2">
        <v>12.9</v>
      </c>
      <c r="E32" s="2">
        <v>208.46362309776956</v>
      </c>
      <c r="F32" s="2">
        <v>43.284847494330563</v>
      </c>
      <c r="G32" s="2">
        <v>68.507752947422475</v>
      </c>
      <c r="H32" s="2">
        <v>19.501384986939868</v>
      </c>
      <c r="I32" s="2">
        <v>61.701733818720328</v>
      </c>
      <c r="J32" s="2">
        <v>18.041140193739164</v>
      </c>
      <c r="K32" s="2">
        <v>36</v>
      </c>
      <c r="L32" s="2" t="s">
        <v>131</v>
      </c>
      <c r="M32" s="2" t="s">
        <v>131</v>
      </c>
      <c r="N32" s="2" t="s">
        <v>31</v>
      </c>
      <c r="O32" s="2" t="s">
        <v>127</v>
      </c>
      <c r="P32" s="2">
        <v>17</v>
      </c>
      <c r="Q32" s="2" t="s">
        <v>123</v>
      </c>
      <c r="R32" s="2">
        <v>79.343173913043486</v>
      </c>
      <c r="S32" s="2">
        <v>0.7172608695652174</v>
      </c>
      <c r="T32" s="2">
        <v>12.4246086956522</v>
      </c>
      <c r="U32" s="2">
        <v>0.69739552941176486</v>
      </c>
      <c r="V32" s="2">
        <v>0.67590399999999995</v>
      </c>
      <c r="W32" s="2">
        <v>0.69409799999999999</v>
      </c>
      <c r="X32" s="2">
        <v>17.129347058823502</v>
      </c>
      <c r="Y32" s="2">
        <v>10.497999999999999</v>
      </c>
      <c r="Z32" s="2">
        <v>17.456</v>
      </c>
      <c r="AA32" s="2">
        <v>72.330247058823545</v>
      </c>
      <c r="AB32" s="2">
        <v>83.373999999999995</v>
      </c>
      <c r="AC32" s="2">
        <v>72.082499999999996</v>
      </c>
      <c r="AD32" s="2">
        <f>67.2-63</f>
        <v>4.2000000000000028</v>
      </c>
      <c r="AE32" s="2">
        <f>(331.8-212.5)/2</f>
        <v>59.650000000000006</v>
      </c>
      <c r="AF32" s="2">
        <f>57.8-54.5</f>
        <v>3.2999999999999972</v>
      </c>
      <c r="AG32" s="2">
        <v>0.7</v>
      </c>
      <c r="AH32" s="2">
        <v>28</v>
      </c>
      <c r="AI32" s="2">
        <v>1.0166400000000001E-2</v>
      </c>
      <c r="AJ32" s="2">
        <f t="shared" si="1"/>
        <v>363.08571428571429</v>
      </c>
      <c r="AK32" s="2" t="s">
        <v>106</v>
      </c>
      <c r="AL32" s="2" t="s">
        <v>116</v>
      </c>
      <c r="AM32" s="2" t="s">
        <v>144</v>
      </c>
      <c r="AN32" s="2" t="s">
        <v>158</v>
      </c>
      <c r="AO32" s="2" t="s">
        <v>211</v>
      </c>
    </row>
    <row r="33" spans="1:41" x14ac:dyDescent="0.35">
      <c r="A33" s="2" t="s">
        <v>158</v>
      </c>
      <c r="B33" s="2" t="s">
        <v>19</v>
      </c>
      <c r="C33" s="2">
        <v>-65</v>
      </c>
      <c r="D33" s="2">
        <v>13.3</v>
      </c>
      <c r="E33" s="2">
        <v>203.04568527918735</v>
      </c>
      <c r="F33" s="2">
        <v>38.761144454479421</v>
      </c>
      <c r="G33" s="2">
        <v>62.403808688182188</v>
      </c>
      <c r="H33" s="2">
        <v>19.233933723121016</v>
      </c>
      <c r="I33" s="2">
        <v>55.794230876527358</v>
      </c>
      <c r="J33" s="2">
        <v>16.024269515542201</v>
      </c>
      <c r="K33" s="2">
        <v>34</v>
      </c>
      <c r="L33" s="2" t="s">
        <v>144</v>
      </c>
      <c r="M33" s="2" t="s">
        <v>132</v>
      </c>
      <c r="N33" s="2" t="s">
        <v>31</v>
      </c>
      <c r="O33" s="2" t="s">
        <v>127</v>
      </c>
      <c r="P33" s="2">
        <v>17</v>
      </c>
      <c r="Q33" s="2" t="s">
        <v>123</v>
      </c>
      <c r="R33" s="2">
        <v>86.67</v>
      </c>
      <c r="S33" s="2">
        <v>0.57999999999999996</v>
      </c>
      <c r="T33" s="2">
        <v>16.356999999999999</v>
      </c>
      <c r="U33" s="2">
        <v>0.68934669999999998</v>
      </c>
      <c r="V33" s="2">
        <v>0.64954400000000001</v>
      </c>
      <c r="W33" s="2">
        <v>0.69881300000000002</v>
      </c>
      <c r="X33" s="2">
        <v>17.102039999999999</v>
      </c>
      <c r="Y33" s="2">
        <v>9.94</v>
      </c>
      <c r="Z33" s="2">
        <v>17.944299999999998</v>
      </c>
      <c r="AA33" s="2">
        <v>68.429574999999986</v>
      </c>
      <c r="AB33" s="2">
        <v>82.580600000000004</v>
      </c>
      <c r="AC33" s="2">
        <v>67.565899999999999</v>
      </c>
      <c r="AD33" s="2">
        <f>65.2-62.9</f>
        <v>2.3000000000000043</v>
      </c>
      <c r="AE33" s="2">
        <f>(302.2-213.7)/2</f>
        <v>44.25</v>
      </c>
      <c r="AF33" s="2">
        <f>54.2-51.1</f>
        <v>3.1000000000000014</v>
      </c>
      <c r="AG33" s="2">
        <v>1.4</v>
      </c>
      <c r="AH33" s="2">
        <v>18</v>
      </c>
      <c r="AI33" s="2">
        <v>1.03681E-2</v>
      </c>
      <c r="AJ33" s="2">
        <f t="shared" si="1"/>
        <v>576.00555555555559</v>
      </c>
      <c r="AK33" s="2" t="s">
        <v>106</v>
      </c>
      <c r="AL33" s="2" t="s">
        <v>116</v>
      </c>
      <c r="AM33" s="2" t="s">
        <v>144</v>
      </c>
      <c r="AN33" s="2" t="s">
        <v>158</v>
      </c>
      <c r="AO33" s="2" t="s">
        <v>211</v>
      </c>
    </row>
    <row r="34" spans="1:41" x14ac:dyDescent="0.35">
      <c r="A34" s="2" t="s">
        <v>159</v>
      </c>
      <c r="B34" s="2" t="s">
        <v>20</v>
      </c>
      <c r="C34" s="2">
        <v>-67.3</v>
      </c>
      <c r="D34" s="2">
        <v>13.7</v>
      </c>
      <c r="E34" s="2">
        <v>157.35641227379972</v>
      </c>
      <c r="F34" s="2">
        <v>94.366623221601628</v>
      </c>
      <c r="G34" s="2">
        <v>33.030943180585922</v>
      </c>
      <c r="H34" s="2">
        <v>10.792549741725503</v>
      </c>
      <c r="I34" s="2">
        <v>36.407325153820821</v>
      </c>
      <c r="J34" s="2">
        <v>9.5412690756553786</v>
      </c>
      <c r="K34" s="2">
        <v>18</v>
      </c>
      <c r="L34" s="2" t="s">
        <v>131</v>
      </c>
      <c r="M34" s="2" t="s">
        <v>131</v>
      </c>
      <c r="N34" s="2" t="s">
        <v>31</v>
      </c>
      <c r="O34" s="2" t="s">
        <v>127</v>
      </c>
      <c r="P34" s="2">
        <v>14</v>
      </c>
      <c r="Q34" s="2" t="s">
        <v>123</v>
      </c>
      <c r="R34" s="2">
        <v>71.752919999999989</v>
      </c>
      <c r="S34" s="2">
        <v>0.71672000000000002</v>
      </c>
      <c r="T34" s="2">
        <v>13.23968</v>
      </c>
      <c r="U34" s="2">
        <v>0.87612772727272725</v>
      </c>
      <c r="V34" s="2">
        <v>0.69004799999999999</v>
      </c>
      <c r="W34" s="2">
        <v>0.89546300000000001</v>
      </c>
      <c r="X34" s="2">
        <v>24.2309509090909</v>
      </c>
      <c r="Y34" s="2">
        <v>15.319800000000001</v>
      </c>
      <c r="Z34" s="2">
        <v>24.169879999999999</v>
      </c>
      <c r="AA34" s="2">
        <v>39.805999999999997</v>
      </c>
      <c r="AB34" s="2">
        <v>65.002399999999994</v>
      </c>
      <c r="AC34" s="2">
        <v>39.0625</v>
      </c>
      <c r="AD34" s="2">
        <f>70.1-67.3</f>
        <v>2.7999999999999972</v>
      </c>
      <c r="AE34" s="2">
        <f>(347.1-214.9)/2</f>
        <v>66.100000000000009</v>
      </c>
      <c r="AF34" s="2">
        <f>58.4-56.6</f>
        <v>1.7999999999999972</v>
      </c>
      <c r="AG34" s="2">
        <v>1.6</v>
      </c>
      <c r="AH34" s="2">
        <v>22</v>
      </c>
      <c r="AI34" s="2">
        <v>8.5230600000000007E-3</v>
      </c>
      <c r="AJ34" s="2">
        <f>(AI34/AH34)*1000000</f>
        <v>387.41181818181821</v>
      </c>
      <c r="AK34" s="2">
        <v>4.4000000000000004</v>
      </c>
      <c r="AL34" s="2" t="s">
        <v>116</v>
      </c>
      <c r="AM34" s="2" t="s">
        <v>144</v>
      </c>
      <c r="AN34" s="2" t="s">
        <v>159</v>
      </c>
      <c r="AO34" s="2" t="s">
        <v>212</v>
      </c>
    </row>
    <row r="35" spans="1:41" x14ac:dyDescent="0.35">
      <c r="A35" s="2" t="s">
        <v>159</v>
      </c>
      <c r="B35" s="2" t="s">
        <v>20</v>
      </c>
      <c r="C35" s="2">
        <v>-68.489999999999995</v>
      </c>
      <c r="D35" s="2">
        <v>14.1</v>
      </c>
      <c r="E35" s="2">
        <v>152.85845307245486</v>
      </c>
      <c r="F35" s="2">
        <v>79.494215509857469</v>
      </c>
      <c r="G35" s="2">
        <v>41.740506294177727</v>
      </c>
      <c r="H35" s="2">
        <v>12.280215134857038</v>
      </c>
      <c r="I35" s="2">
        <v>40.480913249402946</v>
      </c>
      <c r="J35" s="2">
        <v>11.015893887245509</v>
      </c>
      <c r="K35" s="2">
        <v>22</v>
      </c>
      <c r="L35" s="2" t="s">
        <v>144</v>
      </c>
      <c r="M35" s="2" t="s">
        <v>132</v>
      </c>
      <c r="N35" s="2" t="s">
        <v>31</v>
      </c>
      <c r="O35" s="2" t="s">
        <v>127</v>
      </c>
      <c r="P35" s="2">
        <v>14</v>
      </c>
      <c r="Q35" s="2" t="s">
        <v>123</v>
      </c>
      <c r="R35" s="2">
        <v>75.707478260869578</v>
      </c>
      <c r="S35" s="2">
        <v>0.68091304347826087</v>
      </c>
      <c r="T35" s="2">
        <v>13.3560869565217</v>
      </c>
      <c r="U35" s="2">
        <v>0.75383708333333332</v>
      </c>
      <c r="V35" s="2">
        <v>0.655613</v>
      </c>
      <c r="W35" s="2">
        <v>0.77401900000000001</v>
      </c>
      <c r="X35" s="2">
        <v>24.988808333333299</v>
      </c>
      <c r="Y35" s="2">
        <v>15.136699999999999</v>
      </c>
      <c r="Z35" s="2">
        <v>24.169899999999998</v>
      </c>
      <c r="AA35" s="2">
        <v>45.837416666666662</v>
      </c>
      <c r="AB35" s="2">
        <v>68.847700000000003</v>
      </c>
      <c r="AC35" s="2">
        <v>45.715299999999999</v>
      </c>
      <c r="AD35" s="2">
        <f>70.3-67.6</f>
        <v>2.7000000000000028</v>
      </c>
      <c r="AE35" s="2">
        <f>(335.3-186.5)/2</f>
        <v>74.400000000000006</v>
      </c>
      <c r="AF35" s="2" t="s">
        <v>133</v>
      </c>
      <c r="AG35" s="2">
        <v>2.1</v>
      </c>
      <c r="AH35" s="2">
        <v>14</v>
      </c>
      <c r="AI35" s="2">
        <v>6.7598700000000003E-3</v>
      </c>
      <c r="AJ35" s="2">
        <f>(AI35/AH35)*1000000</f>
        <v>482.84785714285721</v>
      </c>
      <c r="AK35" s="2">
        <v>5</v>
      </c>
      <c r="AL35" s="2" t="s">
        <v>116</v>
      </c>
      <c r="AM35" s="2" t="s">
        <v>144</v>
      </c>
      <c r="AN35" s="2" t="s">
        <v>159</v>
      </c>
      <c r="AO35" s="2" t="s">
        <v>212</v>
      </c>
    </row>
    <row r="36" spans="1:41" x14ac:dyDescent="0.35">
      <c r="A36" s="2" t="s">
        <v>159</v>
      </c>
      <c r="B36" s="2" t="s">
        <v>21</v>
      </c>
      <c r="C36" s="2">
        <v>-68.400000000000006</v>
      </c>
      <c r="D36" s="2">
        <v>14.5</v>
      </c>
      <c r="E36" s="2">
        <v>140.05602240896329</v>
      </c>
      <c r="F36" s="2">
        <v>36.273120563852409</v>
      </c>
      <c r="G36" s="2">
        <v>40.83461546328018</v>
      </c>
      <c r="H36" s="2">
        <v>11.783741195012059</v>
      </c>
      <c r="I36" s="2">
        <v>41.347942939838639</v>
      </c>
      <c r="J36" s="2">
        <v>14.644063124526166</v>
      </c>
      <c r="K36" s="2">
        <v>19</v>
      </c>
      <c r="L36" s="2" t="s">
        <v>131</v>
      </c>
      <c r="M36" s="2" t="s">
        <v>131</v>
      </c>
      <c r="N36" s="2" t="s">
        <v>31</v>
      </c>
      <c r="O36" s="2" t="s">
        <v>127</v>
      </c>
      <c r="P36" s="2">
        <v>14</v>
      </c>
      <c r="Q36" s="2" t="s">
        <v>123</v>
      </c>
      <c r="R36" s="2">
        <v>79.514172413793105</v>
      </c>
      <c r="S36" s="2">
        <v>0.84882758620689669</v>
      </c>
      <c r="T36" s="2">
        <v>6.9096206896551697</v>
      </c>
      <c r="U36" s="2">
        <v>1.1925627272727271</v>
      </c>
      <c r="V36" s="2">
        <v>0.85113399999999995</v>
      </c>
      <c r="W36" s="2">
        <v>1.2417499999999999</v>
      </c>
      <c r="X36" s="2">
        <v>11.280409090909099</v>
      </c>
      <c r="Y36" s="2">
        <v>5.7373000000000003</v>
      </c>
      <c r="Z36" s="2">
        <v>10.8642</v>
      </c>
      <c r="AA36" s="2">
        <v>53.261481818181807</v>
      </c>
      <c r="AB36" s="2">
        <v>77.697800000000001</v>
      </c>
      <c r="AC36" s="2">
        <v>52.063000000000002</v>
      </c>
      <c r="AD36" s="2">
        <f>69.9-67.6</f>
        <v>2.3000000000000114</v>
      </c>
      <c r="AE36" s="2">
        <f>(367.2-222)/2</f>
        <v>72.599999999999994</v>
      </c>
      <c r="AF36" s="2">
        <v>0</v>
      </c>
      <c r="AG36" s="2">
        <v>1.6</v>
      </c>
      <c r="AH36" s="2">
        <v>18.7</v>
      </c>
      <c r="AI36" s="2">
        <v>1.10259E-2</v>
      </c>
      <c r="AJ36" s="2">
        <f>(AI36/AH36)*1000000</f>
        <v>589.62032085561498</v>
      </c>
      <c r="AK36" s="2">
        <v>5</v>
      </c>
      <c r="AL36" s="2" t="s">
        <v>116</v>
      </c>
      <c r="AM36" s="2" t="s">
        <v>144</v>
      </c>
      <c r="AN36" s="2" t="s">
        <v>159</v>
      </c>
      <c r="AO36" s="2" t="s">
        <v>212</v>
      </c>
    </row>
    <row r="37" spans="1:41" x14ac:dyDescent="0.35">
      <c r="A37" s="2" t="s">
        <v>159</v>
      </c>
      <c r="B37" s="2" t="s">
        <v>21</v>
      </c>
      <c r="C37" s="2">
        <v>-68.06</v>
      </c>
      <c r="D37" s="2">
        <v>14.9</v>
      </c>
      <c r="E37" s="2">
        <v>136.42564802182787</v>
      </c>
      <c r="F37" s="2">
        <v>38.470141325859473</v>
      </c>
      <c r="G37" s="2">
        <v>43.566764277961198</v>
      </c>
      <c r="H37" s="2">
        <v>18.800200262590273</v>
      </c>
      <c r="I37" s="2">
        <v>43.821209465381152</v>
      </c>
      <c r="J37" s="2">
        <v>15.729963554256138</v>
      </c>
      <c r="K37" s="2">
        <v>23</v>
      </c>
      <c r="L37" s="2" t="s">
        <v>144</v>
      </c>
      <c r="M37" s="2" t="s">
        <v>132</v>
      </c>
      <c r="N37" s="2" t="s">
        <v>31</v>
      </c>
      <c r="O37" s="2" t="s">
        <v>127</v>
      </c>
      <c r="P37" s="2">
        <v>14</v>
      </c>
      <c r="Q37" s="2" t="s">
        <v>123</v>
      </c>
      <c r="R37" s="2">
        <v>77.946241379310351</v>
      </c>
      <c r="S37" s="2">
        <v>0.87996551724137939</v>
      </c>
      <c r="T37" s="2">
        <v>7.6400689655172398</v>
      </c>
      <c r="U37" s="2">
        <v>1.1279169999999998</v>
      </c>
      <c r="V37" s="2">
        <v>0.86881299999999995</v>
      </c>
      <c r="W37" s="2">
        <v>1.1542399999999999</v>
      </c>
      <c r="X37" s="2">
        <v>10.687250000000001</v>
      </c>
      <c r="Y37" s="2">
        <v>6.4086999999999996</v>
      </c>
      <c r="Z37" s="2">
        <v>10.8643</v>
      </c>
      <c r="AA37" s="2">
        <v>55.419918181818183</v>
      </c>
      <c r="AB37" s="2">
        <v>76.293899999999994</v>
      </c>
      <c r="AC37" s="2">
        <v>56.701700000000002</v>
      </c>
      <c r="AD37" s="2">
        <f>69.2-67.2</f>
        <v>2</v>
      </c>
      <c r="AE37" s="2">
        <f>(408.5-222)/2</f>
        <v>93.25</v>
      </c>
      <c r="AF37" s="2">
        <v>0</v>
      </c>
      <c r="AG37" s="2">
        <v>1.8</v>
      </c>
      <c r="AH37" s="2">
        <v>16</v>
      </c>
      <c r="AI37" s="2">
        <v>9.83062E-3</v>
      </c>
      <c r="AJ37" s="2">
        <f>(AI37/AH37)*1000000</f>
        <v>614.41375000000005</v>
      </c>
      <c r="AK37" s="2">
        <v>5.4</v>
      </c>
      <c r="AL37" s="2" t="s">
        <v>116</v>
      </c>
      <c r="AM37" s="2" t="s">
        <v>144</v>
      </c>
      <c r="AN37" s="2" t="s">
        <v>159</v>
      </c>
      <c r="AO37" s="2" t="s">
        <v>212</v>
      </c>
    </row>
    <row r="38" spans="1:41" x14ac:dyDescent="0.35">
      <c r="A38" s="2" t="s">
        <v>160</v>
      </c>
      <c r="B38" s="2" t="s">
        <v>22</v>
      </c>
      <c r="C38" s="2">
        <v>-62.5</v>
      </c>
      <c r="D38" s="2">
        <v>15.3</v>
      </c>
      <c r="E38" s="2">
        <v>195.0458357714059</v>
      </c>
      <c r="F38" s="2">
        <v>30.970701026443614</v>
      </c>
      <c r="G38" s="2">
        <v>79.380090731144691</v>
      </c>
      <c r="H38" s="2">
        <v>23.81317687658105</v>
      </c>
      <c r="I38" s="2">
        <v>83.090984628167277</v>
      </c>
      <c r="J38" s="2">
        <v>24.656105768128889</v>
      </c>
      <c r="K38" s="2">
        <v>39</v>
      </c>
      <c r="L38" s="2" t="s">
        <v>131</v>
      </c>
      <c r="M38" s="2" t="s">
        <v>131</v>
      </c>
      <c r="N38" s="2" t="s">
        <v>31</v>
      </c>
      <c r="O38" s="2" t="s">
        <v>127</v>
      </c>
      <c r="P38" s="2">
        <v>15</v>
      </c>
      <c r="Q38" s="2" t="s">
        <v>123</v>
      </c>
      <c r="R38" s="2">
        <v>76.334210526315701</v>
      </c>
      <c r="S38" s="2">
        <v>0.74570000000000003</v>
      </c>
      <c r="T38" s="2">
        <v>12.48775</v>
      </c>
      <c r="U38" s="2">
        <v>0.9335386</v>
      </c>
      <c r="V38" s="2">
        <v>0.74778699999999998</v>
      </c>
      <c r="W38" s="2">
        <v>0.95155299999999998</v>
      </c>
      <c r="X38" s="2">
        <v>13.583394999999999</v>
      </c>
      <c r="Y38" s="2">
        <v>10.7422</v>
      </c>
      <c r="Z38" s="2">
        <v>13.9161</v>
      </c>
      <c r="AA38" s="2">
        <v>62.783805000000008</v>
      </c>
      <c r="AB38" s="2">
        <v>74.706999999999994</v>
      </c>
      <c r="AC38" s="2">
        <v>61.767600000000002</v>
      </c>
      <c r="AD38" s="2">
        <f>67-63.6</f>
        <v>3.3999999999999986</v>
      </c>
      <c r="AE38" s="2">
        <f>(361.3-216.1)/2</f>
        <v>72.600000000000009</v>
      </c>
      <c r="AF38" s="2">
        <f>54.9-53.1</f>
        <v>1.7999999999999972</v>
      </c>
      <c r="AG38" s="2">
        <v>0.8</v>
      </c>
      <c r="AH38" s="2">
        <v>32</v>
      </c>
      <c r="AI38" s="2">
        <v>9.6206E-3</v>
      </c>
      <c r="AJ38" s="2">
        <f t="shared" si="1"/>
        <v>300.64375000000001</v>
      </c>
      <c r="AK38" s="2" t="s">
        <v>106</v>
      </c>
      <c r="AL38" s="2" t="s">
        <v>116</v>
      </c>
      <c r="AM38" s="2" t="s">
        <v>144</v>
      </c>
      <c r="AN38" s="2" t="s">
        <v>160</v>
      </c>
      <c r="AO38" s="2" t="s">
        <v>212</v>
      </c>
    </row>
    <row r="39" spans="1:41" x14ac:dyDescent="0.35">
      <c r="A39" s="2" t="s">
        <v>160</v>
      </c>
      <c r="B39" s="2" t="s">
        <v>22</v>
      </c>
      <c r="C39" s="2">
        <v>-62.7</v>
      </c>
      <c r="D39" s="2">
        <v>15.7</v>
      </c>
      <c r="E39" s="2">
        <v>175.68517217146851</v>
      </c>
      <c r="F39" s="2">
        <v>31.557096356234272</v>
      </c>
      <c r="G39" s="2">
        <v>83.528582946679947</v>
      </c>
      <c r="H39" s="2">
        <v>24.273226870662519</v>
      </c>
      <c r="I39" s="2">
        <v>77.2857253265324</v>
      </c>
      <c r="J39" s="2">
        <v>25.130554658437781</v>
      </c>
      <c r="K39" s="2">
        <v>42</v>
      </c>
      <c r="L39" s="2" t="s">
        <v>144</v>
      </c>
      <c r="M39" s="2" t="s">
        <v>132</v>
      </c>
      <c r="N39" s="2" t="s">
        <v>31</v>
      </c>
      <c r="O39" s="2" t="s">
        <v>127</v>
      </c>
      <c r="P39" s="2">
        <v>15</v>
      </c>
      <c r="Q39" s="2" t="s">
        <v>123</v>
      </c>
      <c r="R39" s="2">
        <v>74.768000000000001</v>
      </c>
      <c r="S39" s="2">
        <v>0.76200000000000001</v>
      </c>
      <c r="T39" s="2">
        <v>12.939</v>
      </c>
      <c r="U39" s="2">
        <v>0.95272199999999985</v>
      </c>
      <c r="V39" s="2">
        <v>0.76650499999999999</v>
      </c>
      <c r="W39" s="2">
        <v>0.98344699999999996</v>
      </c>
      <c r="X39" s="2">
        <v>13.3879304347826</v>
      </c>
      <c r="Y39" s="2">
        <v>9.5214999999999996</v>
      </c>
      <c r="Z39" s="2">
        <v>12.5122</v>
      </c>
      <c r="AA39" s="2">
        <v>60.772430434782606</v>
      </c>
      <c r="AB39" s="2">
        <v>74.462900000000005</v>
      </c>
      <c r="AC39" s="2">
        <v>60.424799999999998</v>
      </c>
      <c r="AD39" s="2">
        <f>66.3-63.4</f>
        <v>2.8999999999999986</v>
      </c>
      <c r="AE39" s="2">
        <f>(383.7-218)/2</f>
        <v>82.85</v>
      </c>
      <c r="AF39" s="2">
        <f>53.2-51.5</f>
        <v>1.7000000000000028</v>
      </c>
      <c r="AG39" s="2">
        <v>0.9</v>
      </c>
      <c r="AH39" s="2">
        <v>33</v>
      </c>
      <c r="AI39" s="2">
        <v>8.8000000000000005E-3</v>
      </c>
      <c r="AJ39" s="2">
        <f t="shared" si="1"/>
        <v>266.66666666666669</v>
      </c>
      <c r="AK39" s="2" t="s">
        <v>106</v>
      </c>
      <c r="AL39" s="2" t="s">
        <v>116</v>
      </c>
      <c r="AM39" s="2" t="s">
        <v>144</v>
      </c>
      <c r="AN39" s="2" t="s">
        <v>160</v>
      </c>
      <c r="AO39" s="2" t="s">
        <v>212</v>
      </c>
    </row>
    <row r="40" spans="1:41" x14ac:dyDescent="0.35">
      <c r="A40" s="2" t="s">
        <v>160</v>
      </c>
      <c r="B40" s="2" t="s">
        <v>23</v>
      </c>
      <c r="C40" s="2">
        <v>-64.400000000000006</v>
      </c>
      <c r="D40" s="2">
        <v>16.100000000000001</v>
      </c>
      <c r="E40" s="2">
        <v>217.3440556400783</v>
      </c>
      <c r="F40" s="2">
        <v>26.827835392067339</v>
      </c>
      <c r="G40" s="2">
        <v>83.503816307613732</v>
      </c>
      <c r="H40" s="2">
        <v>26.21197540346963</v>
      </c>
      <c r="I40" s="2">
        <v>74.794315632011944</v>
      </c>
      <c r="J40" s="2">
        <v>28.172287374752361</v>
      </c>
      <c r="K40" s="2">
        <v>40</v>
      </c>
      <c r="L40" s="2" t="s">
        <v>131</v>
      </c>
      <c r="M40" s="2" t="s">
        <v>131</v>
      </c>
      <c r="N40" s="2" t="s">
        <v>31</v>
      </c>
      <c r="O40" s="2" t="s">
        <v>127</v>
      </c>
      <c r="P40" s="2">
        <v>15</v>
      </c>
      <c r="Q40" s="2" t="s">
        <v>123</v>
      </c>
      <c r="R40" s="2">
        <v>76.526624999999996</v>
      </c>
      <c r="S40" s="2">
        <v>0.56937499999999985</v>
      </c>
      <c r="T40" s="2">
        <v>16.593875000000001</v>
      </c>
      <c r="U40" s="2">
        <v>0.84651209090909108</v>
      </c>
      <c r="V40" s="2">
        <v>0.57655199999999995</v>
      </c>
      <c r="W40" s="2">
        <v>0.87714300000000001</v>
      </c>
      <c r="X40" s="2">
        <v>15.911681818181799</v>
      </c>
      <c r="Y40" s="2">
        <v>11.901899999999999</v>
      </c>
      <c r="Z40" s="2">
        <v>16.235299999999999</v>
      </c>
      <c r="AA40" s="2">
        <v>50.16164545454545</v>
      </c>
      <c r="AB40" s="2">
        <v>77.514600000000002</v>
      </c>
      <c r="AC40" s="2">
        <v>47.607399999999998</v>
      </c>
      <c r="AD40" s="2">
        <f>65.3-63.7</f>
        <v>1.5999999999999943</v>
      </c>
      <c r="AE40" s="2">
        <f>(340-216)/2</f>
        <v>62</v>
      </c>
      <c r="AF40" s="2">
        <f>55.4-53.7</f>
        <v>1.6999999999999957</v>
      </c>
      <c r="AG40" s="2">
        <v>2</v>
      </c>
      <c r="AH40" s="2">
        <v>14</v>
      </c>
      <c r="AI40" s="2">
        <v>7.5034400000000001E-3</v>
      </c>
      <c r="AJ40" s="2">
        <f t="shared" si="1"/>
        <v>535.96</v>
      </c>
      <c r="AK40" s="2">
        <v>7.2</v>
      </c>
      <c r="AL40" s="2" t="s">
        <v>116</v>
      </c>
      <c r="AM40" s="2" t="s">
        <v>144</v>
      </c>
      <c r="AN40" s="2" t="s">
        <v>160</v>
      </c>
      <c r="AO40" s="2" t="s">
        <v>212</v>
      </c>
    </row>
    <row r="41" spans="1:41" x14ac:dyDescent="0.35">
      <c r="A41" s="2" t="s">
        <v>160</v>
      </c>
      <c r="B41" s="2" t="s">
        <v>23</v>
      </c>
      <c r="C41" s="2">
        <v>-64.7</v>
      </c>
      <c r="D41" s="2">
        <v>16.5</v>
      </c>
      <c r="E41" s="2">
        <v>200.20020020020115</v>
      </c>
      <c r="F41" s="2">
        <v>26.893266784626586</v>
      </c>
      <c r="G41" s="2">
        <v>85.114001573975912</v>
      </c>
      <c r="H41" s="2">
        <v>31.410086580300202</v>
      </c>
      <c r="I41" s="2">
        <v>77.857365306758396</v>
      </c>
      <c r="J41" s="2">
        <v>28.741758256381274</v>
      </c>
      <c r="K41" s="2">
        <v>44</v>
      </c>
      <c r="L41" s="2" t="s">
        <v>144</v>
      </c>
      <c r="M41" s="2" t="s">
        <v>132</v>
      </c>
      <c r="N41" s="2" t="s">
        <v>31</v>
      </c>
      <c r="O41" s="2" t="s">
        <v>127</v>
      </c>
      <c r="P41" s="2">
        <v>15</v>
      </c>
      <c r="Q41" s="2" t="s">
        <v>123</v>
      </c>
      <c r="R41" s="2">
        <v>78.249818181818171</v>
      </c>
      <c r="S41" s="2">
        <v>0.54181818181818175</v>
      </c>
      <c r="T41" s="2">
        <v>17.2008636363636</v>
      </c>
      <c r="U41" s="2">
        <v>0.80253637142857137</v>
      </c>
      <c r="V41" s="2">
        <v>0.56018400000000002</v>
      </c>
      <c r="W41" s="2">
        <v>0.82947700000000002</v>
      </c>
      <c r="X41" s="2">
        <v>15.729637142857101</v>
      </c>
      <c r="Y41" s="2">
        <v>13.1225</v>
      </c>
      <c r="Z41" s="2">
        <v>16.418500000000002</v>
      </c>
      <c r="AA41" s="2">
        <v>51.738628571428585</v>
      </c>
      <c r="AB41" s="2">
        <v>75.866699999999994</v>
      </c>
      <c r="AC41" s="2">
        <v>49.377400000000002</v>
      </c>
      <c r="AD41" s="2">
        <f>64.9-63.3</f>
        <v>1.6000000000000085</v>
      </c>
      <c r="AE41" s="2">
        <f>(330-218)/2</f>
        <v>56</v>
      </c>
      <c r="AF41" s="2">
        <f>53.1-51.3</f>
        <v>1.8000000000000043</v>
      </c>
      <c r="AG41" s="2">
        <v>2.1</v>
      </c>
      <c r="AH41" s="2">
        <v>9</v>
      </c>
      <c r="AI41" s="2">
        <v>6.3338999999999999E-3</v>
      </c>
      <c r="AJ41" s="2">
        <f t="shared" si="1"/>
        <v>703.76666666666665</v>
      </c>
      <c r="AK41" s="2">
        <v>8.4</v>
      </c>
      <c r="AL41" s="2" t="s">
        <v>116</v>
      </c>
      <c r="AM41" s="2" t="s">
        <v>144</v>
      </c>
      <c r="AN41" s="2" t="s">
        <v>160</v>
      </c>
      <c r="AO41" s="2" t="s">
        <v>212</v>
      </c>
    </row>
    <row r="42" spans="1:41" x14ac:dyDescent="0.35">
      <c r="A42" s="2" t="s">
        <v>160</v>
      </c>
      <c r="B42" s="2" t="s">
        <v>24</v>
      </c>
      <c r="C42" s="2">
        <v>-67.7</v>
      </c>
      <c r="D42" s="2">
        <v>16.899999999999999</v>
      </c>
      <c r="E42" s="2">
        <v>178.25311942958959</v>
      </c>
      <c r="F42" s="2">
        <v>34.820411091883962</v>
      </c>
      <c r="G42" s="2">
        <v>47.164353352908115</v>
      </c>
      <c r="H42" s="2">
        <v>15.908878572434407</v>
      </c>
      <c r="I42" s="2">
        <v>50.055060566623403</v>
      </c>
      <c r="J42" s="2">
        <v>17.542561813823415</v>
      </c>
      <c r="K42" s="2">
        <v>25</v>
      </c>
      <c r="L42" s="2" t="s">
        <v>131</v>
      </c>
      <c r="M42" s="2" t="s">
        <v>131</v>
      </c>
      <c r="N42" s="2" t="s">
        <v>31</v>
      </c>
      <c r="O42" s="2" t="s">
        <v>127</v>
      </c>
      <c r="P42" s="2">
        <v>15</v>
      </c>
      <c r="Q42" s="2" t="s">
        <v>123</v>
      </c>
      <c r="R42" s="2">
        <v>78.476900000000015</v>
      </c>
      <c r="S42" s="2">
        <v>0.61123333333333341</v>
      </c>
      <c r="T42" s="2">
        <v>12.2619333333333</v>
      </c>
      <c r="U42" s="2">
        <v>0.80208729999999995</v>
      </c>
      <c r="V42" s="2">
        <v>0.61811000000000005</v>
      </c>
      <c r="W42" s="2">
        <v>0.808056</v>
      </c>
      <c r="X42" s="2">
        <v>18.18235</v>
      </c>
      <c r="Y42" s="2">
        <v>10.9252</v>
      </c>
      <c r="Z42" s="2">
        <v>18.432600000000001</v>
      </c>
      <c r="AA42" s="2">
        <v>52.13015</v>
      </c>
      <c r="AB42" s="2">
        <v>78.491200000000006</v>
      </c>
      <c r="AC42" s="2">
        <v>51.452599999999997</v>
      </c>
      <c r="AD42" s="2">
        <f>69.4-67.1</f>
        <v>2.3000000000000114</v>
      </c>
      <c r="AE42" s="2">
        <f>(369-217)/2</f>
        <v>76</v>
      </c>
      <c r="AF42" s="2">
        <f>55.9-55</f>
        <v>0.89999999999999858</v>
      </c>
      <c r="AG42" s="2">
        <v>2</v>
      </c>
      <c r="AH42" s="2">
        <v>10.8</v>
      </c>
      <c r="AI42" s="2">
        <v>8.0143599999999999E-3</v>
      </c>
      <c r="AJ42" s="2">
        <f t="shared" si="1"/>
        <v>742.07037037037026</v>
      </c>
      <c r="AK42" s="2">
        <v>5</v>
      </c>
      <c r="AL42" s="2" t="s">
        <v>116</v>
      </c>
      <c r="AM42" s="2" t="s">
        <v>144</v>
      </c>
      <c r="AN42" s="2" t="s">
        <v>160</v>
      </c>
      <c r="AO42" s="2" t="s">
        <v>212</v>
      </c>
    </row>
    <row r="43" spans="1:41" x14ac:dyDescent="0.35">
      <c r="A43" s="2" t="s">
        <v>160</v>
      </c>
      <c r="B43" s="2" t="s">
        <v>24</v>
      </c>
      <c r="C43" s="2">
        <v>-66.900000000000006</v>
      </c>
      <c r="D43" s="2">
        <v>17.3</v>
      </c>
      <c r="E43" s="2">
        <v>152.43902439024384</v>
      </c>
      <c r="F43" s="2">
        <v>44.227488029292438</v>
      </c>
      <c r="G43" s="2">
        <v>58.496969730996263</v>
      </c>
      <c r="H43" s="2">
        <v>20.446818855033836</v>
      </c>
      <c r="I43" s="2">
        <v>57.836899942162844</v>
      </c>
      <c r="J43" s="2">
        <v>19.690408008764759</v>
      </c>
      <c r="K43" s="2">
        <v>31</v>
      </c>
      <c r="L43" s="2" t="s">
        <v>144</v>
      </c>
      <c r="M43" s="2" t="s">
        <v>132</v>
      </c>
      <c r="N43" s="2" t="s">
        <v>31</v>
      </c>
      <c r="O43" s="2" t="s">
        <v>127</v>
      </c>
      <c r="P43" s="2">
        <v>15</v>
      </c>
      <c r="Q43" s="2" t="s">
        <v>123</v>
      </c>
      <c r="R43" s="2">
        <v>79.922055555555545</v>
      </c>
      <c r="S43" s="2">
        <v>0.60772222222222216</v>
      </c>
      <c r="T43" s="2">
        <v>13.441333333333301</v>
      </c>
      <c r="U43" s="2">
        <v>0.73786523076923061</v>
      </c>
      <c r="V43" s="2">
        <v>0.616981</v>
      </c>
      <c r="W43" s="2">
        <v>0.75515699999999997</v>
      </c>
      <c r="X43" s="2">
        <v>18.052330769230799</v>
      </c>
      <c r="Y43" s="2">
        <v>11.352600000000001</v>
      </c>
      <c r="Z43" s="2">
        <v>19.409199999999998</v>
      </c>
      <c r="AA43" s="2">
        <v>58.758092307692316</v>
      </c>
      <c r="AB43" s="2">
        <v>79.7119</v>
      </c>
      <c r="AC43" s="2">
        <v>58.288600000000002</v>
      </c>
      <c r="AD43" s="2">
        <f>68-65.3</f>
        <v>2.7000000000000028</v>
      </c>
      <c r="AE43" s="2">
        <f>(371-217)/2</f>
        <v>77</v>
      </c>
      <c r="AF43" s="2">
        <f>53.6-52.2</f>
        <v>1.3999999999999986</v>
      </c>
      <c r="AG43" s="2">
        <v>2.4</v>
      </c>
      <c r="AH43" s="2">
        <v>9</v>
      </c>
      <c r="AI43" s="2">
        <v>8.8308499999999995E-3</v>
      </c>
      <c r="AJ43" s="2">
        <f t="shared" si="1"/>
        <v>981.20555555555552</v>
      </c>
      <c r="AK43" s="2">
        <v>6.7</v>
      </c>
      <c r="AL43" s="2" t="s">
        <v>116</v>
      </c>
      <c r="AM43" s="2" t="s">
        <v>144</v>
      </c>
      <c r="AN43" s="2" t="s">
        <v>160</v>
      </c>
      <c r="AO43" s="2" t="s">
        <v>212</v>
      </c>
    </row>
    <row r="44" spans="1:41" x14ac:dyDescent="0.35">
      <c r="A44" s="2" t="s">
        <v>161</v>
      </c>
      <c r="B44" s="2" t="s">
        <v>25</v>
      </c>
      <c r="C44" s="2">
        <v>-67</v>
      </c>
      <c r="D44" s="2">
        <v>17.7</v>
      </c>
      <c r="E44" s="2">
        <v>234.63162834350067</v>
      </c>
      <c r="F44" s="2">
        <v>27.936315672902232</v>
      </c>
      <c r="G44" s="2">
        <v>81.837087650537214</v>
      </c>
      <c r="H44" s="2">
        <v>13.322141155276297</v>
      </c>
      <c r="I44" s="2">
        <v>77.924101924725505</v>
      </c>
      <c r="J44" s="2">
        <v>13.167048466588568</v>
      </c>
      <c r="K44" s="2">
        <v>43</v>
      </c>
      <c r="L44" s="2" t="s">
        <v>131</v>
      </c>
      <c r="M44" s="2" t="s">
        <v>131</v>
      </c>
      <c r="N44" s="2" t="s">
        <v>31</v>
      </c>
      <c r="O44" s="2" t="s">
        <v>127</v>
      </c>
      <c r="P44" s="2">
        <v>15</v>
      </c>
      <c r="Q44" s="2" t="s">
        <v>123</v>
      </c>
      <c r="R44" s="2">
        <v>79.001900000000006</v>
      </c>
      <c r="S44" s="2">
        <v>0.60953333333333337</v>
      </c>
      <c r="T44" s="2">
        <v>12.2985666666667</v>
      </c>
      <c r="U44" s="2">
        <v>0.69833200000000017</v>
      </c>
      <c r="V44" s="2">
        <v>0.631359</v>
      </c>
      <c r="W44" s="2">
        <v>0.70165500000000003</v>
      </c>
      <c r="X44" s="2">
        <v>14.82748</v>
      </c>
      <c r="Y44" s="2">
        <v>8.3618000000000006</v>
      </c>
      <c r="Z44" s="2">
        <v>14.343299999999999</v>
      </c>
      <c r="AA44" s="2">
        <v>62.707516666666677</v>
      </c>
      <c r="AB44" s="2">
        <v>76.965299999999999</v>
      </c>
      <c r="AC44" s="2">
        <v>63.598599999999998</v>
      </c>
      <c r="AD44" s="2" t="s">
        <v>106</v>
      </c>
      <c r="AE44" s="2" t="s">
        <v>106</v>
      </c>
      <c r="AF44" s="2" t="s">
        <v>106</v>
      </c>
      <c r="AG44" s="2">
        <v>2.4</v>
      </c>
      <c r="AH44" s="2">
        <v>35.299999999999997</v>
      </c>
      <c r="AI44" s="2">
        <v>5.0542699999999996E-3</v>
      </c>
      <c r="AJ44" s="2">
        <f t="shared" si="1"/>
        <v>143.18045325779036</v>
      </c>
      <c r="AK44" s="2" t="s">
        <v>106</v>
      </c>
      <c r="AL44" s="2" t="s">
        <v>116</v>
      </c>
      <c r="AM44" s="2" t="s">
        <v>144</v>
      </c>
      <c r="AN44" s="2" t="s">
        <v>161</v>
      </c>
      <c r="AO44" s="2" t="s">
        <v>212</v>
      </c>
    </row>
    <row r="45" spans="1:41" x14ac:dyDescent="0.35">
      <c r="A45" s="2" t="s">
        <v>161</v>
      </c>
      <c r="B45" s="2" t="s">
        <v>25</v>
      </c>
      <c r="C45" s="2">
        <v>-65</v>
      </c>
      <c r="D45" s="2">
        <v>18.100000000000001</v>
      </c>
      <c r="E45" s="2">
        <v>207.12510356255166</v>
      </c>
      <c r="F45" s="2">
        <v>29.756268367526442</v>
      </c>
      <c r="G45" s="2">
        <v>76.896541779483627</v>
      </c>
      <c r="H45" s="2">
        <v>12.101905966693224</v>
      </c>
      <c r="I45" s="2">
        <v>73.394495412844037</v>
      </c>
      <c r="J45" s="2">
        <v>11.195715298036095</v>
      </c>
      <c r="K45" s="2">
        <v>40</v>
      </c>
      <c r="L45" s="2" t="s">
        <v>144</v>
      </c>
      <c r="M45" s="2" t="s">
        <v>132</v>
      </c>
      <c r="N45" s="2" t="s">
        <v>31</v>
      </c>
      <c r="O45" s="2" t="s">
        <v>127</v>
      </c>
      <c r="P45" s="2">
        <v>15</v>
      </c>
      <c r="Q45" s="2" t="s">
        <v>123</v>
      </c>
      <c r="R45" s="2">
        <v>76.954428571428565</v>
      </c>
      <c r="S45" s="2">
        <v>0.6393928571428571</v>
      </c>
      <c r="T45" s="2">
        <v>11.9236428571429</v>
      </c>
      <c r="U45" s="2">
        <v>0.72599451851851859</v>
      </c>
      <c r="V45" s="2">
        <v>0.64391100000000001</v>
      </c>
      <c r="W45" s="2">
        <v>0.73183699999999996</v>
      </c>
      <c r="X45" s="2">
        <v>13.5272037037037</v>
      </c>
      <c r="Y45" s="2">
        <v>9.0942000000000007</v>
      </c>
      <c r="Z45" s="2">
        <v>13.732900000000001</v>
      </c>
      <c r="AA45" s="2">
        <v>63.978411111111122</v>
      </c>
      <c r="AB45" s="2">
        <v>77.209500000000006</v>
      </c>
      <c r="AC45" s="2">
        <v>63.598599999999998</v>
      </c>
      <c r="AD45" s="2" t="s">
        <v>106</v>
      </c>
      <c r="AE45" s="2" t="s">
        <v>106</v>
      </c>
      <c r="AF45" s="2" t="s">
        <v>106</v>
      </c>
      <c r="AG45" s="2">
        <v>2.5</v>
      </c>
      <c r="AH45" s="2">
        <v>25.9</v>
      </c>
      <c r="AI45" s="2">
        <v>5.5493000000000001E-3</v>
      </c>
      <c r="AJ45" s="2">
        <f t="shared" si="1"/>
        <v>214.25868725868727</v>
      </c>
      <c r="AK45" s="2" t="s">
        <v>106</v>
      </c>
      <c r="AL45" s="2" t="s">
        <v>116</v>
      </c>
      <c r="AM45" s="2" t="s">
        <v>144</v>
      </c>
      <c r="AN45" s="2" t="s">
        <v>161</v>
      </c>
      <c r="AO45" s="2" t="s">
        <v>212</v>
      </c>
    </row>
    <row r="46" spans="1:41" x14ac:dyDescent="0.35">
      <c r="A46" s="2" t="s">
        <v>162</v>
      </c>
      <c r="B46" s="2" t="s">
        <v>26</v>
      </c>
      <c r="C46" s="2">
        <v>-55</v>
      </c>
      <c r="D46" s="2">
        <v>18.5</v>
      </c>
      <c r="E46" s="2">
        <v>146.45577035735201</v>
      </c>
      <c r="F46" s="2">
        <v>57.117394012571438</v>
      </c>
      <c r="G46" s="2">
        <v>48.648712829028057</v>
      </c>
      <c r="H46" s="2">
        <v>47.297263312317675</v>
      </c>
      <c r="I46" s="2">
        <v>44.218439089100357</v>
      </c>
      <c r="J46" s="2">
        <v>42.282091062434553</v>
      </c>
      <c r="K46" s="2">
        <v>26</v>
      </c>
      <c r="L46" s="2" t="s">
        <v>131</v>
      </c>
      <c r="M46" s="2" t="s">
        <v>131</v>
      </c>
      <c r="N46" s="2" t="s">
        <v>31</v>
      </c>
      <c r="O46" s="2" t="s">
        <v>127</v>
      </c>
      <c r="P46" s="2">
        <v>16</v>
      </c>
      <c r="Q46" s="2" t="s">
        <v>123</v>
      </c>
      <c r="R46" s="2">
        <v>82.845222222222219</v>
      </c>
      <c r="S46" s="2">
        <v>0.87172222222222207</v>
      </c>
      <c r="T46" s="2">
        <v>13.607555555555599</v>
      </c>
      <c r="U46" s="2">
        <v>1.2561333333333333</v>
      </c>
      <c r="V46" s="2">
        <v>0.90192399999999995</v>
      </c>
      <c r="W46" s="2">
        <v>1.2993300000000001</v>
      </c>
      <c r="X46" s="2">
        <v>18.157975</v>
      </c>
      <c r="Y46" s="2">
        <v>13.610799999999999</v>
      </c>
      <c r="Z46" s="2">
        <v>19.225999999999999</v>
      </c>
      <c r="AA46" s="2">
        <v>57.861316666666674</v>
      </c>
      <c r="AB46" s="2">
        <v>79.406700000000001</v>
      </c>
      <c r="AC46" s="2">
        <v>55.358899999999998</v>
      </c>
      <c r="AD46" s="2">
        <f>54.4-53.6</f>
        <v>0.79999999999999716</v>
      </c>
      <c r="AE46" s="2">
        <f>(420-250)/2</f>
        <v>85</v>
      </c>
      <c r="AF46" s="2">
        <f>42.4-39</f>
        <v>3.3999999999999986</v>
      </c>
      <c r="AG46" s="2">
        <v>0.21</v>
      </c>
      <c r="AH46" s="2" t="s">
        <v>106</v>
      </c>
      <c r="AI46" s="2" t="s">
        <v>106</v>
      </c>
      <c r="AJ46" s="2" t="s">
        <v>106</v>
      </c>
      <c r="AK46" s="2">
        <v>1.4</v>
      </c>
      <c r="AL46" s="2" t="s">
        <v>116</v>
      </c>
      <c r="AM46" s="2" t="s">
        <v>144</v>
      </c>
      <c r="AN46" s="2" t="s">
        <v>162</v>
      </c>
      <c r="AO46" s="2" t="s">
        <v>212</v>
      </c>
    </row>
    <row r="47" spans="1:41" x14ac:dyDescent="0.35">
      <c r="A47" s="2" t="s">
        <v>162</v>
      </c>
      <c r="B47" s="2" t="s">
        <v>26</v>
      </c>
      <c r="C47" s="2">
        <v>-55</v>
      </c>
      <c r="D47" s="2">
        <v>18.899999999999999</v>
      </c>
      <c r="E47" s="2">
        <v>140.68655036578494</v>
      </c>
      <c r="F47" s="2">
        <v>66.716554228242543</v>
      </c>
      <c r="G47" s="2">
        <v>49.764568648703744</v>
      </c>
      <c r="H47" s="2">
        <v>50.451698656257228</v>
      </c>
      <c r="I47" s="2">
        <v>42.317295078498432</v>
      </c>
      <c r="J47" s="2">
        <v>47.546619309504926</v>
      </c>
      <c r="K47" s="2">
        <v>26</v>
      </c>
      <c r="L47" s="2" t="s">
        <v>144</v>
      </c>
      <c r="M47" s="2" t="s">
        <v>132</v>
      </c>
      <c r="N47" s="2" t="s">
        <v>31</v>
      </c>
      <c r="O47" s="2" t="s">
        <v>127</v>
      </c>
      <c r="P47" s="2">
        <v>16</v>
      </c>
      <c r="Q47" s="2" t="s">
        <v>123</v>
      </c>
      <c r="R47" s="2">
        <v>76.305653846153845</v>
      </c>
      <c r="S47" s="2">
        <v>0.96053846153846123</v>
      </c>
      <c r="T47" s="2">
        <v>13.3433461538462</v>
      </c>
      <c r="U47" s="2">
        <v>1.1544288888888887</v>
      </c>
      <c r="V47" s="2">
        <v>0.95202500000000001</v>
      </c>
      <c r="W47" s="2">
        <v>1.2728600000000001</v>
      </c>
      <c r="X47" s="2">
        <v>17.988700000000001</v>
      </c>
      <c r="Y47" s="2">
        <v>13.671799999999999</v>
      </c>
      <c r="Z47" s="2">
        <v>18.005299999999998</v>
      </c>
      <c r="AA47" s="2">
        <v>58.382899999999992</v>
      </c>
      <c r="AB47" s="2">
        <v>76.660200000000003</v>
      </c>
      <c r="AC47" s="2">
        <v>57.7393</v>
      </c>
      <c r="AD47" s="2">
        <f>52.7-51.3</f>
        <v>1.4000000000000057</v>
      </c>
      <c r="AE47" s="2">
        <f>(448-240)/2</f>
        <v>104</v>
      </c>
      <c r="AF47" s="2">
        <f>41.1-37.9</f>
        <v>3.2000000000000028</v>
      </c>
      <c r="AG47" s="2">
        <v>0.2</v>
      </c>
      <c r="AH47" s="2" t="s">
        <v>106</v>
      </c>
      <c r="AI47" s="2" t="s">
        <v>106</v>
      </c>
      <c r="AJ47" s="2" t="s">
        <v>106</v>
      </c>
      <c r="AK47" s="2">
        <v>1.4</v>
      </c>
      <c r="AL47" s="2" t="s">
        <v>116</v>
      </c>
      <c r="AM47" s="2" t="s">
        <v>144</v>
      </c>
      <c r="AN47" s="2" t="s">
        <v>162</v>
      </c>
      <c r="AO47" s="2" t="s">
        <v>212</v>
      </c>
    </row>
    <row r="48" spans="1:41" x14ac:dyDescent="0.35">
      <c r="A48" s="2" t="s">
        <v>171</v>
      </c>
      <c r="B48" s="2" t="s">
        <v>28</v>
      </c>
      <c r="C48" s="2">
        <v>-65.7</v>
      </c>
      <c r="D48" s="2">
        <v>19.3</v>
      </c>
      <c r="E48" s="2">
        <v>205.00205002049961</v>
      </c>
      <c r="F48" s="2">
        <v>55.779697305774462</v>
      </c>
      <c r="G48" s="2">
        <v>90.603374658737764</v>
      </c>
      <c r="H48" s="2">
        <v>21.810862349960292</v>
      </c>
      <c r="I48" s="2">
        <v>76.863950807071532</v>
      </c>
      <c r="J48" s="2">
        <v>17.939473424279385</v>
      </c>
      <c r="K48" s="2">
        <v>44</v>
      </c>
      <c r="L48" s="2" t="s">
        <v>131</v>
      </c>
      <c r="M48" s="2" t="s">
        <v>131</v>
      </c>
      <c r="N48" s="2" t="s">
        <v>209</v>
      </c>
      <c r="O48" s="2" t="s">
        <v>126</v>
      </c>
      <c r="P48" s="2">
        <v>13</v>
      </c>
      <c r="Q48" s="2" t="s">
        <v>123</v>
      </c>
      <c r="R48" s="2">
        <v>82.5919375</v>
      </c>
      <c r="S48" s="2">
        <v>0.60312500000000002</v>
      </c>
      <c r="T48" s="2">
        <v>15.19075</v>
      </c>
      <c r="U48" s="2">
        <v>0.7511714285714286</v>
      </c>
      <c r="V48" s="2">
        <v>0.61599999999999999</v>
      </c>
      <c r="W48" s="2">
        <v>0.751</v>
      </c>
      <c r="X48" s="2">
        <v>16.560828571428601</v>
      </c>
      <c r="Y48" s="2">
        <v>13.817</v>
      </c>
      <c r="Z48" s="2">
        <v>15.510999999999999</v>
      </c>
      <c r="AA48" s="2">
        <v>58.589971428571438</v>
      </c>
      <c r="AB48" s="2">
        <v>79.408000000000001</v>
      </c>
      <c r="AC48" s="2">
        <v>58.908999999999999</v>
      </c>
      <c r="AD48" s="2">
        <f>65.7-63.8</f>
        <v>1.9000000000000057</v>
      </c>
      <c r="AE48" s="2">
        <f>(282-214)/2</f>
        <v>34</v>
      </c>
      <c r="AF48" s="2">
        <f>56.3-54</f>
        <v>2.2999999999999972</v>
      </c>
      <c r="AG48" s="2">
        <v>1.1000000000000001</v>
      </c>
      <c r="AH48" s="2">
        <v>33</v>
      </c>
      <c r="AI48" s="2">
        <v>1.54635E-2</v>
      </c>
      <c r="AJ48" s="2">
        <f t="shared" si="1"/>
        <v>468.59090909090907</v>
      </c>
      <c r="AK48" s="2" t="s">
        <v>106</v>
      </c>
      <c r="AL48" s="2" t="s">
        <v>116</v>
      </c>
      <c r="AM48" s="2" t="s">
        <v>144</v>
      </c>
      <c r="AN48" s="2" t="s">
        <v>171</v>
      </c>
      <c r="AO48" s="2" t="s">
        <v>212</v>
      </c>
    </row>
    <row r="49" spans="1:41" x14ac:dyDescent="0.35">
      <c r="A49" s="2" t="s">
        <v>171</v>
      </c>
      <c r="B49" s="2" t="s">
        <v>28</v>
      </c>
      <c r="C49" s="2">
        <v>-63.2</v>
      </c>
      <c r="D49" s="2">
        <v>19.7</v>
      </c>
      <c r="E49" s="2">
        <v>198.530871550527</v>
      </c>
      <c r="F49" s="2">
        <v>54.622578171440587</v>
      </c>
      <c r="G49" s="2">
        <v>86.968384389427044</v>
      </c>
      <c r="H49" s="2">
        <v>21.307869219117919</v>
      </c>
      <c r="I49" s="2">
        <v>77.369439071567001</v>
      </c>
      <c r="J49" s="2">
        <v>18.059227999797507</v>
      </c>
      <c r="K49" s="2">
        <v>60</v>
      </c>
      <c r="L49" s="2" t="s">
        <v>144</v>
      </c>
      <c r="M49" s="2" t="s">
        <v>132</v>
      </c>
      <c r="N49" s="2" t="s">
        <v>209</v>
      </c>
      <c r="O49" s="2" t="s">
        <v>126</v>
      </c>
      <c r="P49" s="2">
        <v>13</v>
      </c>
      <c r="Q49" s="2" t="s">
        <v>123</v>
      </c>
      <c r="R49" s="2">
        <v>82.477999999999994</v>
      </c>
      <c r="S49" s="2">
        <v>0.61899999999999999</v>
      </c>
      <c r="T49" s="2">
        <v>13.573</v>
      </c>
      <c r="U49" s="2">
        <v>0.83863265306122425</v>
      </c>
      <c r="V49" s="2">
        <v>0.63900000000000001</v>
      </c>
      <c r="W49" s="2">
        <v>0.83199999999999996</v>
      </c>
      <c r="X49" s="2">
        <v>14.3076326530612</v>
      </c>
      <c r="Y49" s="2">
        <v>13.66</v>
      </c>
      <c r="Z49" s="2">
        <v>14.53</v>
      </c>
      <c r="AA49" s="2">
        <v>53.573897959183654</v>
      </c>
      <c r="AB49" s="2">
        <v>74.784999999999997</v>
      </c>
      <c r="AC49" s="2">
        <v>53.405999999999999</v>
      </c>
      <c r="AD49" s="2">
        <f>63.1-62.3</f>
        <v>0.80000000000000426</v>
      </c>
      <c r="AE49" s="2">
        <f>(275-223)/2</f>
        <v>26</v>
      </c>
      <c r="AF49" s="2">
        <f>50.5-48.9</f>
        <v>1.6000000000000014</v>
      </c>
      <c r="AG49" s="2">
        <v>1.2</v>
      </c>
      <c r="AH49" s="2">
        <v>26</v>
      </c>
      <c r="AI49" s="2">
        <v>9.7720299999999993E-3</v>
      </c>
      <c r="AJ49" s="2">
        <f t="shared" si="1"/>
        <v>375.84730769230765</v>
      </c>
      <c r="AK49" s="2" t="s">
        <v>106</v>
      </c>
      <c r="AL49" s="2" t="s">
        <v>116</v>
      </c>
      <c r="AM49" s="2" t="s">
        <v>144</v>
      </c>
      <c r="AN49" s="2" t="s">
        <v>171</v>
      </c>
      <c r="AO49" s="2" t="s">
        <v>212</v>
      </c>
    </row>
    <row r="50" spans="1:41" x14ac:dyDescent="0.35">
      <c r="A50" s="2" t="s">
        <v>172</v>
      </c>
      <c r="B50" s="2" t="s">
        <v>29</v>
      </c>
      <c r="C50" s="2">
        <v>-71.3</v>
      </c>
      <c r="D50" s="2">
        <v>20.100000000000001</v>
      </c>
      <c r="E50" s="2">
        <v>216.96680407897685</v>
      </c>
      <c r="F50" s="2">
        <v>89.896980216022925</v>
      </c>
      <c r="G50" s="2">
        <v>85.179902311128842</v>
      </c>
      <c r="H50" s="2">
        <v>31.212805743661349</v>
      </c>
      <c r="I50" s="2">
        <v>80.096115338405994</v>
      </c>
      <c r="J50" s="2">
        <v>26.182389194691865</v>
      </c>
      <c r="K50" s="2">
        <v>40</v>
      </c>
      <c r="L50" s="2" t="s">
        <v>131</v>
      </c>
      <c r="M50" s="2" t="s">
        <v>131</v>
      </c>
      <c r="N50" s="2" t="s">
        <v>209</v>
      </c>
      <c r="O50" s="2" t="s">
        <v>126</v>
      </c>
      <c r="P50" s="2">
        <v>15</v>
      </c>
      <c r="Q50" s="2" t="s">
        <v>123</v>
      </c>
      <c r="R50" s="2">
        <v>87.903294117647079</v>
      </c>
      <c r="S50" s="2">
        <v>0.65500000000000025</v>
      </c>
      <c r="T50" s="2">
        <v>7.3334117647058799</v>
      </c>
      <c r="U50" s="2">
        <v>0.89254545454545453</v>
      </c>
      <c r="V50" s="2">
        <v>0.61899999999999999</v>
      </c>
      <c r="W50" s="2">
        <v>0.90400000000000003</v>
      </c>
      <c r="X50" s="2">
        <v>13.702121212121201</v>
      </c>
      <c r="Y50" s="2">
        <v>9.6219999999999999</v>
      </c>
      <c r="Z50" s="2">
        <v>14.705</v>
      </c>
      <c r="AA50" s="2">
        <v>55.339969696969689</v>
      </c>
      <c r="AB50" s="2">
        <v>82.260999999999996</v>
      </c>
      <c r="AC50" s="2">
        <v>54.075000000000003</v>
      </c>
      <c r="AD50" s="2">
        <f>73.8-71.9</f>
        <v>1.8999999999999915</v>
      </c>
      <c r="AE50" s="2">
        <f>(316-223)/2</f>
        <v>46.5</v>
      </c>
      <c r="AF50" s="2">
        <f>59.1-58</f>
        <v>1.1000000000000014</v>
      </c>
      <c r="AG50" s="2">
        <v>0.87</v>
      </c>
      <c r="AH50" s="2">
        <v>34</v>
      </c>
      <c r="AI50" s="2">
        <v>1.48088E-2</v>
      </c>
      <c r="AJ50" s="2">
        <f t="shared" si="1"/>
        <v>435.5529411764706</v>
      </c>
      <c r="AK50" s="2" t="s">
        <v>106</v>
      </c>
      <c r="AL50" s="2" t="s">
        <v>116</v>
      </c>
      <c r="AM50" s="2" t="s">
        <v>144</v>
      </c>
      <c r="AN50" s="2" t="s">
        <v>172</v>
      </c>
      <c r="AO50" s="2" t="s">
        <v>212</v>
      </c>
    </row>
    <row r="51" spans="1:41" x14ac:dyDescent="0.35">
      <c r="A51" s="2" t="s">
        <v>172</v>
      </c>
      <c r="B51" s="2" t="s">
        <v>29</v>
      </c>
      <c r="C51" s="2">
        <v>-70.3</v>
      </c>
      <c r="D51" s="2">
        <v>20.5</v>
      </c>
      <c r="E51" s="2">
        <v>202.18358269308541</v>
      </c>
      <c r="F51" s="2">
        <v>96.97151215642478</v>
      </c>
      <c r="G51" s="2">
        <v>74.58567422981308</v>
      </c>
      <c r="H51" s="2">
        <v>30.948322235993711</v>
      </c>
      <c r="I51" s="2">
        <v>75.620084694494921</v>
      </c>
      <c r="J51" s="2">
        <v>27.149279843024345</v>
      </c>
      <c r="K51" s="2">
        <v>33</v>
      </c>
      <c r="L51" s="2" t="s">
        <v>144</v>
      </c>
      <c r="M51" s="2" t="s">
        <v>132</v>
      </c>
      <c r="N51" s="2" t="s">
        <v>209</v>
      </c>
      <c r="O51" s="2" t="s">
        <v>126</v>
      </c>
      <c r="P51" s="2">
        <v>15</v>
      </c>
      <c r="Q51" s="2" t="s">
        <v>123</v>
      </c>
      <c r="R51" s="2">
        <v>85.844999999999999</v>
      </c>
      <c r="S51" s="2">
        <v>0.69220000000000004</v>
      </c>
      <c r="T51" s="2">
        <v>6.8825000000000003</v>
      </c>
      <c r="U51" s="2">
        <v>0.88400000000000001</v>
      </c>
      <c r="V51" s="2">
        <v>0.64300000000000002</v>
      </c>
      <c r="W51" s="2">
        <v>0.875</v>
      </c>
      <c r="X51" s="2">
        <v>14.025172413793101</v>
      </c>
      <c r="Y51" s="2">
        <v>10.763999999999999</v>
      </c>
      <c r="Z51" s="2">
        <v>14.808</v>
      </c>
      <c r="AA51" s="2">
        <v>55.549241379310338</v>
      </c>
      <c r="AB51" s="2">
        <v>79.012</v>
      </c>
      <c r="AC51" s="2">
        <v>55.325000000000003</v>
      </c>
      <c r="AD51" s="2">
        <f>71.66-70.9</f>
        <v>0.75999999999999091</v>
      </c>
      <c r="AE51" s="2">
        <f>(355-233)/2</f>
        <v>61</v>
      </c>
      <c r="AF51" s="2">
        <f>53.2-52.6</f>
        <v>0.60000000000000142</v>
      </c>
      <c r="AG51" s="2">
        <v>1.1000000000000001</v>
      </c>
      <c r="AH51" s="2">
        <v>35</v>
      </c>
      <c r="AI51" s="2">
        <v>1.3455E-2</v>
      </c>
      <c r="AJ51" s="2">
        <f t="shared" si="1"/>
        <v>384.42857142857144</v>
      </c>
      <c r="AK51" s="2" t="s">
        <v>106</v>
      </c>
      <c r="AL51" s="2" t="s">
        <v>116</v>
      </c>
      <c r="AM51" s="2" t="s">
        <v>144</v>
      </c>
      <c r="AN51" s="2" t="s">
        <v>172</v>
      </c>
      <c r="AO51" s="2" t="s">
        <v>212</v>
      </c>
    </row>
    <row r="52" spans="1:41" x14ac:dyDescent="0.35">
      <c r="A52" s="2" t="s">
        <v>172</v>
      </c>
      <c r="B52" s="2" t="s">
        <v>30</v>
      </c>
      <c r="C52" s="2">
        <v>-76</v>
      </c>
      <c r="D52" s="2">
        <v>20.9</v>
      </c>
      <c r="E52" s="2">
        <v>245.70024570024611</v>
      </c>
      <c r="F52" s="2">
        <v>55.584118631404195</v>
      </c>
      <c r="G52" s="2">
        <v>98.64736276570487</v>
      </c>
      <c r="H52" s="2">
        <v>21.173378404638882</v>
      </c>
      <c r="I52" s="2">
        <v>90.236419418877517</v>
      </c>
      <c r="J52" s="2">
        <v>19.518773640824573</v>
      </c>
      <c r="K52" s="2">
        <v>46</v>
      </c>
      <c r="L52" s="2" t="s">
        <v>131</v>
      </c>
      <c r="M52" s="2" t="s">
        <v>131</v>
      </c>
      <c r="N52" s="2" t="s">
        <v>209</v>
      </c>
      <c r="O52" s="2" t="s">
        <v>126</v>
      </c>
      <c r="P52" s="2">
        <v>15</v>
      </c>
      <c r="Q52" s="2" t="s">
        <v>123</v>
      </c>
      <c r="R52" s="2">
        <v>90.038117647058812</v>
      </c>
      <c r="S52" s="2">
        <v>0.5513529411764706</v>
      </c>
      <c r="T52" s="2">
        <v>6.8849411764705897</v>
      </c>
      <c r="U52" s="2">
        <v>0.79861764705882343</v>
      </c>
      <c r="V52" s="2">
        <v>0.55200000000000005</v>
      </c>
      <c r="W52" s="2">
        <v>0.65100000000000002</v>
      </c>
      <c r="X52" s="2">
        <v>11.8687647058824</v>
      </c>
      <c r="Y52" s="2">
        <v>6.4340000000000002</v>
      </c>
      <c r="Z52" s="2">
        <v>12.209</v>
      </c>
      <c r="AA52" s="2">
        <v>65.665705882352952</v>
      </c>
      <c r="AB52" s="2">
        <v>86.697999999999993</v>
      </c>
      <c r="AC52" s="2">
        <v>66.655000000000001</v>
      </c>
      <c r="AD52" s="2">
        <f>79.29-77.6</f>
        <v>1.6900000000000119</v>
      </c>
      <c r="AE52" s="2">
        <f>(296-219)/2</f>
        <v>38.5</v>
      </c>
      <c r="AF52" s="2">
        <f>64.9-63.3</f>
        <v>1.6000000000000085</v>
      </c>
      <c r="AG52" s="2">
        <v>1.1499999999999999</v>
      </c>
      <c r="AH52" s="2">
        <v>29</v>
      </c>
      <c r="AI52" s="2">
        <v>1.0179799999999999E-2</v>
      </c>
      <c r="AJ52" s="2">
        <f t="shared" si="1"/>
        <v>351.0275862068965</v>
      </c>
      <c r="AK52" s="2" t="s">
        <v>106</v>
      </c>
      <c r="AL52" s="2" t="s">
        <v>116</v>
      </c>
      <c r="AM52" s="2" t="s">
        <v>144</v>
      </c>
      <c r="AN52" s="2" t="s">
        <v>172</v>
      </c>
      <c r="AO52" s="2" t="s">
        <v>212</v>
      </c>
    </row>
    <row r="53" spans="1:41" x14ac:dyDescent="0.35">
      <c r="A53" s="2" t="s">
        <v>172</v>
      </c>
      <c r="B53" s="2" t="s">
        <v>30</v>
      </c>
      <c r="C53" s="2">
        <v>-76.900000000000006</v>
      </c>
      <c r="D53" s="2">
        <v>21.3</v>
      </c>
      <c r="E53" s="2">
        <v>230.73373327180568</v>
      </c>
      <c r="F53" s="2">
        <v>51.638839505398437</v>
      </c>
      <c r="G53" s="2">
        <v>95.136530590751818</v>
      </c>
      <c r="H53" s="2">
        <v>19.616494449781246</v>
      </c>
      <c r="I53" s="2">
        <v>86.610081413477019</v>
      </c>
      <c r="J53" s="2">
        <v>18.009379782700108</v>
      </c>
      <c r="K53" s="2">
        <v>44</v>
      </c>
      <c r="L53" s="2" t="s">
        <v>144</v>
      </c>
      <c r="M53" s="2" t="s">
        <v>132</v>
      </c>
      <c r="N53" s="2" t="s">
        <v>209</v>
      </c>
      <c r="O53" s="2" t="s">
        <v>126</v>
      </c>
      <c r="P53" s="2">
        <v>15</v>
      </c>
      <c r="Q53" s="2" t="s">
        <v>123</v>
      </c>
      <c r="R53" s="2">
        <v>88.063062500000001</v>
      </c>
      <c r="S53" s="2">
        <v>0.54675000000000007</v>
      </c>
      <c r="T53" s="2">
        <v>8.7241250000000008</v>
      </c>
      <c r="U53" s="2">
        <v>0.68881818181818188</v>
      </c>
      <c r="V53" s="2">
        <v>0.57799999999999996</v>
      </c>
      <c r="W53" s="2">
        <v>0.68700000000000006</v>
      </c>
      <c r="X53" s="2">
        <v>11.765696969697</v>
      </c>
      <c r="Y53" s="2">
        <v>4.8819999999999997</v>
      </c>
      <c r="Z53" s="2">
        <v>11.942</v>
      </c>
      <c r="AA53" s="2">
        <v>62.727666666666664</v>
      </c>
      <c r="AB53" s="2">
        <v>86.363</v>
      </c>
      <c r="AC53" s="2">
        <v>62.98</v>
      </c>
      <c r="AD53" s="2">
        <f>78-76.5</f>
        <v>1.5</v>
      </c>
      <c r="AE53" s="2">
        <f>(303-222)/2</f>
        <v>40.5</v>
      </c>
      <c r="AF53" s="2">
        <f>62.1-60.6</f>
        <v>1.5</v>
      </c>
      <c r="AG53" s="2">
        <v>1.2</v>
      </c>
      <c r="AH53" s="2">
        <v>25</v>
      </c>
      <c r="AI53" s="2">
        <v>1.4E-2</v>
      </c>
      <c r="AJ53" s="2">
        <f t="shared" si="1"/>
        <v>560.00000000000011</v>
      </c>
      <c r="AK53" s="2" t="s">
        <v>106</v>
      </c>
      <c r="AL53" s="2" t="s">
        <v>116</v>
      </c>
      <c r="AM53" s="2" t="s">
        <v>144</v>
      </c>
      <c r="AN53" s="2" t="s">
        <v>172</v>
      </c>
      <c r="AO53" s="2" t="s">
        <v>212</v>
      </c>
    </row>
    <row r="54" spans="1:41" x14ac:dyDescent="0.35">
      <c r="A54" s="2" t="s">
        <v>173</v>
      </c>
      <c r="B54" s="2" t="s">
        <v>32</v>
      </c>
      <c r="C54" s="2">
        <v>-71</v>
      </c>
      <c r="D54" s="2">
        <v>21.7</v>
      </c>
      <c r="E54" s="2">
        <v>262.74303730951249</v>
      </c>
      <c r="F54" s="2">
        <v>72.969317686664439</v>
      </c>
      <c r="G54" s="2">
        <v>103.21355684706027</v>
      </c>
      <c r="H54" s="2">
        <v>25.009610626551638</v>
      </c>
      <c r="I54" s="2">
        <v>84.104289318755349</v>
      </c>
      <c r="J54" s="2">
        <v>21.696628566961916</v>
      </c>
      <c r="K54" s="2">
        <v>50</v>
      </c>
      <c r="L54" s="2" t="s">
        <v>131</v>
      </c>
      <c r="M54" s="2" t="s">
        <v>131</v>
      </c>
      <c r="N54" s="2" t="s">
        <v>209</v>
      </c>
      <c r="O54" s="2" t="s">
        <v>126</v>
      </c>
      <c r="P54" s="2">
        <v>13</v>
      </c>
      <c r="Q54" s="2" t="s">
        <v>123</v>
      </c>
      <c r="R54" s="2" t="s">
        <v>106</v>
      </c>
      <c r="S54" s="2" t="s">
        <v>106</v>
      </c>
      <c r="T54" s="2" t="s">
        <v>106</v>
      </c>
      <c r="U54" s="2">
        <v>0.55960869565217386</v>
      </c>
      <c r="V54" s="2">
        <v>0.52600000000000002</v>
      </c>
      <c r="W54" s="2">
        <v>0.57099999999999995</v>
      </c>
      <c r="X54" s="2">
        <v>15.212260869565201</v>
      </c>
      <c r="Y54" s="2">
        <v>7.6289999999999996</v>
      </c>
      <c r="Z54" s="2">
        <v>13.161</v>
      </c>
      <c r="AA54" s="2">
        <v>72.998739130434785</v>
      </c>
      <c r="AB54" s="2">
        <v>87.606999999999999</v>
      </c>
      <c r="AC54" s="2">
        <v>75.436999999999998</v>
      </c>
      <c r="AD54" s="2" t="s">
        <v>106</v>
      </c>
      <c r="AE54" s="2" t="s">
        <v>106</v>
      </c>
      <c r="AF54" s="2" t="s">
        <v>106</v>
      </c>
      <c r="AG54" s="2">
        <v>0.68</v>
      </c>
      <c r="AH54" s="2">
        <v>19</v>
      </c>
      <c r="AI54" s="2">
        <v>8.5535200000000002E-3</v>
      </c>
      <c r="AJ54" s="2">
        <f t="shared" si="1"/>
        <v>450.18526315789478</v>
      </c>
      <c r="AK54" s="2" t="s">
        <v>106</v>
      </c>
      <c r="AL54" s="2" t="s">
        <v>116</v>
      </c>
      <c r="AM54" s="2" t="s">
        <v>144</v>
      </c>
      <c r="AN54" s="2" t="s">
        <v>173</v>
      </c>
      <c r="AO54" s="2" t="s">
        <v>212</v>
      </c>
    </row>
    <row r="55" spans="1:41" x14ac:dyDescent="0.35">
      <c r="A55" s="2" t="s">
        <v>173</v>
      </c>
      <c r="B55" s="2" t="s">
        <v>32</v>
      </c>
      <c r="C55" s="2">
        <v>-74.3</v>
      </c>
      <c r="D55" s="2">
        <v>22.1</v>
      </c>
      <c r="E55" s="2">
        <v>235.18344308560626</v>
      </c>
      <c r="F55" s="2">
        <v>65.824671155567813</v>
      </c>
      <c r="G55" s="2">
        <v>93.070575685755102</v>
      </c>
      <c r="H55" s="2">
        <v>22.971194627668371</v>
      </c>
      <c r="I55" s="2">
        <v>86.873425419163667</v>
      </c>
      <c r="J55" s="2">
        <v>21.175207299011131</v>
      </c>
      <c r="K55" s="2">
        <v>44</v>
      </c>
      <c r="L55" s="2" t="s">
        <v>144</v>
      </c>
      <c r="M55" s="2" t="s">
        <v>132</v>
      </c>
      <c r="N55" s="2" t="s">
        <v>209</v>
      </c>
      <c r="O55" s="2" t="s">
        <v>126</v>
      </c>
      <c r="P55" s="2">
        <v>13</v>
      </c>
      <c r="Q55" s="2" t="s">
        <v>123</v>
      </c>
      <c r="R55" s="2" t="s">
        <v>106</v>
      </c>
      <c r="S55" s="2" t="s">
        <v>106</v>
      </c>
      <c r="T55" s="2" t="s">
        <v>106</v>
      </c>
      <c r="U55" s="2">
        <v>0.59078571428571436</v>
      </c>
      <c r="V55" s="2">
        <v>0.53300000000000003</v>
      </c>
      <c r="W55" s="2">
        <v>0.59399999999999997</v>
      </c>
      <c r="X55" s="2">
        <v>15.0232142857143</v>
      </c>
      <c r="Y55" s="2">
        <v>7.3369999999999997</v>
      </c>
      <c r="Z55" s="2">
        <v>15.282999999999999</v>
      </c>
      <c r="AA55" s="2">
        <v>67.390785714285713</v>
      </c>
      <c r="AB55" s="2">
        <v>88.174000000000007</v>
      </c>
      <c r="AC55" s="2">
        <v>67.811000000000007</v>
      </c>
      <c r="AD55" s="2" t="s">
        <v>106</v>
      </c>
      <c r="AE55" s="2" t="s">
        <v>106</v>
      </c>
      <c r="AF55" s="2" t="s">
        <v>106</v>
      </c>
      <c r="AG55" s="2">
        <v>0.97</v>
      </c>
      <c r="AH55" s="2">
        <v>19</v>
      </c>
      <c r="AI55" s="2">
        <v>9.5835E-3</v>
      </c>
      <c r="AJ55" s="2">
        <f t="shared" si="1"/>
        <v>504.39473684210526</v>
      </c>
      <c r="AK55" s="2" t="s">
        <v>106</v>
      </c>
      <c r="AL55" s="2" t="s">
        <v>116</v>
      </c>
      <c r="AM55" s="2" t="s">
        <v>144</v>
      </c>
      <c r="AN55" s="2" t="s">
        <v>173</v>
      </c>
      <c r="AO55" s="2" t="s">
        <v>212</v>
      </c>
    </row>
    <row r="56" spans="1:41" x14ac:dyDescent="0.35">
      <c r="A56" s="2" t="s">
        <v>173</v>
      </c>
      <c r="B56" s="2" t="s">
        <v>33</v>
      </c>
      <c r="C56" s="2">
        <v>-66.400000000000006</v>
      </c>
      <c r="D56" s="2">
        <v>22.5</v>
      </c>
      <c r="E56" s="2">
        <v>192.86403085824486</v>
      </c>
      <c r="F56" s="2">
        <v>146.20720687142173</v>
      </c>
      <c r="G56" s="2">
        <v>92.889130819543908</v>
      </c>
      <c r="H56" s="2">
        <v>57.97439311040992</v>
      </c>
      <c r="I56" s="2">
        <v>78.345346286430868</v>
      </c>
      <c r="J56" s="2">
        <v>54.255600538243407</v>
      </c>
      <c r="K56" s="2">
        <v>37</v>
      </c>
      <c r="L56" s="2" t="s">
        <v>131</v>
      </c>
      <c r="M56" s="2" t="s">
        <v>131</v>
      </c>
      <c r="N56" s="2" t="s">
        <v>209</v>
      </c>
      <c r="O56" s="2" t="s">
        <v>126</v>
      </c>
      <c r="P56" s="2">
        <v>13</v>
      </c>
      <c r="Q56" s="2" t="s">
        <v>123</v>
      </c>
      <c r="R56" s="2">
        <v>84.049866666666659</v>
      </c>
      <c r="S56" s="2">
        <v>0.56013333333333337</v>
      </c>
      <c r="T56" s="2">
        <v>18.825800000000001</v>
      </c>
      <c r="U56" s="2">
        <v>0.78987499999999999</v>
      </c>
      <c r="V56" s="2">
        <v>0.56899999999999995</v>
      </c>
      <c r="W56" s="2">
        <v>0.85899999999999999</v>
      </c>
      <c r="X56" s="2">
        <v>20.069458333333301</v>
      </c>
      <c r="Y56" s="2">
        <v>16.504000000000001</v>
      </c>
      <c r="Z56" s="2">
        <v>19.661999999999999</v>
      </c>
      <c r="AA56" s="2">
        <v>51.393916666666655</v>
      </c>
      <c r="AB56" s="2">
        <v>84.302999999999997</v>
      </c>
      <c r="AC56" s="2">
        <v>51.932000000000002</v>
      </c>
      <c r="AD56" s="2">
        <f>67.8-65.5</f>
        <v>2.2999999999999972</v>
      </c>
      <c r="AE56" s="2">
        <f>(286-206)/2</f>
        <v>40</v>
      </c>
      <c r="AF56" s="2">
        <v>0</v>
      </c>
      <c r="AG56" s="2">
        <v>0.67</v>
      </c>
      <c r="AH56" s="2">
        <v>21</v>
      </c>
      <c r="AI56" s="2">
        <v>6.1192699999999996E-3</v>
      </c>
      <c r="AJ56" s="2">
        <f t="shared" si="1"/>
        <v>291.39380952380952</v>
      </c>
      <c r="AK56" s="2">
        <v>2.1</v>
      </c>
      <c r="AL56" s="2" t="s">
        <v>116</v>
      </c>
      <c r="AM56" s="2" t="s">
        <v>144</v>
      </c>
      <c r="AN56" s="2" t="s">
        <v>173</v>
      </c>
      <c r="AO56" s="2" t="s">
        <v>212</v>
      </c>
    </row>
    <row r="57" spans="1:41" x14ac:dyDescent="0.35">
      <c r="A57" s="2" t="s">
        <v>173</v>
      </c>
      <c r="B57" s="2" t="s">
        <v>33</v>
      </c>
      <c r="C57" s="2">
        <v>-64.5</v>
      </c>
      <c r="D57" s="2">
        <v>22.9</v>
      </c>
      <c r="E57" s="2">
        <v>198.29466587348776</v>
      </c>
      <c r="F57" s="2">
        <v>171.8707007376693</v>
      </c>
      <c r="G57" s="2">
        <v>97.929051091352534</v>
      </c>
      <c r="H57" s="2">
        <v>65.951627687023887</v>
      </c>
      <c r="I57" s="2">
        <v>85.785365016728278</v>
      </c>
      <c r="J57" s="2">
        <v>61.911104358761683</v>
      </c>
      <c r="K57" s="2">
        <v>38</v>
      </c>
      <c r="L57" s="2" t="s">
        <v>144</v>
      </c>
      <c r="M57" s="2" t="s">
        <v>132</v>
      </c>
      <c r="N57" s="2" t="s">
        <v>209</v>
      </c>
      <c r="O57" s="2" t="s">
        <v>126</v>
      </c>
      <c r="P57" s="2">
        <v>13</v>
      </c>
      <c r="Q57" s="2" t="s">
        <v>123</v>
      </c>
      <c r="R57" s="2">
        <v>84.469733333333323</v>
      </c>
      <c r="S57" s="2">
        <v>0.56493333333333318</v>
      </c>
      <c r="T57" s="2">
        <v>19.157066666666701</v>
      </c>
      <c r="U57" s="2">
        <v>0.79622222222222239</v>
      </c>
      <c r="V57" s="2">
        <v>0.56799999999999995</v>
      </c>
      <c r="W57" s="2">
        <v>0.85099999999999998</v>
      </c>
      <c r="X57" s="2">
        <v>19.864037037037001</v>
      </c>
      <c r="Y57" s="2">
        <v>19.329999999999998</v>
      </c>
      <c r="Z57" s="2">
        <v>19.597999999999999</v>
      </c>
      <c r="AA57" s="2">
        <v>50.176333333333332</v>
      </c>
      <c r="AB57" s="2">
        <v>81.646000000000001</v>
      </c>
      <c r="AC57" s="2">
        <v>45.481000000000002</v>
      </c>
      <c r="AD57" s="2">
        <f>65.9-63.5</f>
        <v>2.4000000000000057</v>
      </c>
      <c r="AE57" s="2">
        <f>(287-208)/2</f>
        <v>39.5</v>
      </c>
      <c r="AF57" s="2">
        <v>0</v>
      </c>
      <c r="AG57" s="2">
        <v>0.7</v>
      </c>
      <c r="AH57" s="2">
        <v>26</v>
      </c>
      <c r="AI57" s="2">
        <v>6.8361000000000003E-3</v>
      </c>
      <c r="AJ57" s="2">
        <f t="shared" si="1"/>
        <v>262.92692307692306</v>
      </c>
      <c r="AK57" s="2">
        <v>2</v>
      </c>
      <c r="AL57" s="2" t="s">
        <v>116</v>
      </c>
      <c r="AM57" s="2" t="s">
        <v>144</v>
      </c>
      <c r="AN57" s="2" t="s">
        <v>173</v>
      </c>
      <c r="AO57" s="2" t="s">
        <v>212</v>
      </c>
    </row>
    <row r="58" spans="1:41" x14ac:dyDescent="0.35">
      <c r="A58" s="2" t="s">
        <v>174</v>
      </c>
      <c r="B58" s="2" t="s">
        <v>107</v>
      </c>
      <c r="C58" s="2">
        <v>-68.900000000000006</v>
      </c>
      <c r="D58" s="2">
        <v>23.3</v>
      </c>
      <c r="E58" s="2">
        <v>264.83050847457554</v>
      </c>
      <c r="F58" s="2">
        <v>49.773551076902351</v>
      </c>
      <c r="G58" s="2">
        <v>120.94952862133566</v>
      </c>
      <c r="H58" s="2">
        <v>14.655026732690095</v>
      </c>
      <c r="I58" s="2">
        <v>100.76582023377692</v>
      </c>
      <c r="J58" s="2">
        <v>11.743062556234525</v>
      </c>
      <c r="K58" s="2">
        <v>59</v>
      </c>
      <c r="L58" s="2" t="s">
        <v>131</v>
      </c>
      <c r="M58" s="2" t="s">
        <v>131</v>
      </c>
      <c r="N58" s="2" t="s">
        <v>209</v>
      </c>
      <c r="O58" s="2" t="s">
        <v>126</v>
      </c>
      <c r="P58" s="2">
        <v>18</v>
      </c>
      <c r="Q58" s="2" t="s">
        <v>123</v>
      </c>
      <c r="R58" s="2">
        <v>83.787733333333335</v>
      </c>
      <c r="S58" s="2">
        <v>0.50153333333333339</v>
      </c>
      <c r="T58" s="2">
        <v>14.2055333333333</v>
      </c>
      <c r="U58" s="2">
        <v>0.66729999999999989</v>
      </c>
      <c r="V58" s="2">
        <v>0.49399999999999999</v>
      </c>
      <c r="W58" s="2">
        <v>0.55700000000000005</v>
      </c>
      <c r="X58" s="2">
        <v>18.510275</v>
      </c>
      <c r="Y58" s="2">
        <v>11.301</v>
      </c>
      <c r="Z58" s="2">
        <v>18.959</v>
      </c>
      <c r="AA58" s="2">
        <v>64.356850000000009</v>
      </c>
      <c r="AB58" s="2">
        <v>78.114999999999995</v>
      </c>
      <c r="AC58" s="2">
        <v>79.081999999999994</v>
      </c>
      <c r="AD58" s="2">
        <f>70.2-68</f>
        <v>2.2000000000000028</v>
      </c>
      <c r="AE58" s="2">
        <f>(278-211)/2</f>
        <v>33.5</v>
      </c>
      <c r="AF58" s="2">
        <f>63-59.5</f>
        <v>3.5</v>
      </c>
      <c r="AG58" s="2">
        <v>1.5</v>
      </c>
      <c r="AH58" s="2">
        <v>9</v>
      </c>
      <c r="AI58" s="2">
        <v>7.4545599999999998E-3</v>
      </c>
      <c r="AJ58" s="2">
        <f t="shared" si="1"/>
        <v>828.28444444444449</v>
      </c>
      <c r="AK58" s="2" t="s">
        <v>106</v>
      </c>
      <c r="AL58" s="2" t="s">
        <v>116</v>
      </c>
      <c r="AM58" s="2" t="s">
        <v>144</v>
      </c>
      <c r="AN58" s="2" t="s">
        <v>174</v>
      </c>
      <c r="AO58" s="2" t="s">
        <v>212</v>
      </c>
    </row>
    <row r="59" spans="1:41" x14ac:dyDescent="0.35">
      <c r="A59" s="2" t="s">
        <v>174</v>
      </c>
      <c r="B59" s="2" t="s">
        <v>107</v>
      </c>
      <c r="C59" s="2">
        <v>-68.599999999999994</v>
      </c>
      <c r="D59" s="2">
        <v>23.7</v>
      </c>
      <c r="E59" s="2">
        <v>256.54181631605979</v>
      </c>
      <c r="F59" s="2">
        <v>52.663000870102358</v>
      </c>
      <c r="G59" s="2">
        <v>109.55134439437096</v>
      </c>
      <c r="H59" s="2">
        <v>18.284027918416303</v>
      </c>
      <c r="I59" s="2">
        <v>88.967971530249045</v>
      </c>
      <c r="J59" s="2">
        <v>16.320510192220922</v>
      </c>
      <c r="K59" s="2">
        <v>53</v>
      </c>
      <c r="L59" s="2" t="s">
        <v>144</v>
      </c>
      <c r="M59" s="2" t="s">
        <v>132</v>
      </c>
      <c r="N59" s="2" t="s">
        <v>209</v>
      </c>
      <c r="O59" s="2" t="s">
        <v>126</v>
      </c>
      <c r="P59" s="2">
        <v>18</v>
      </c>
      <c r="Q59" s="2" t="s">
        <v>123</v>
      </c>
      <c r="R59" s="2">
        <v>83.112363636363639</v>
      </c>
      <c r="S59" s="2">
        <v>0.49009090909090908</v>
      </c>
      <c r="T59" s="2">
        <v>15.4579090909091</v>
      </c>
      <c r="U59" s="2">
        <v>0.65102631578947345</v>
      </c>
      <c r="V59" s="2">
        <v>0.47</v>
      </c>
      <c r="W59" s="2">
        <v>0.46400000000000002</v>
      </c>
      <c r="X59" s="2">
        <v>19.315157894736799</v>
      </c>
      <c r="Y59" s="2">
        <v>18.62</v>
      </c>
      <c r="Z59" s="2">
        <v>21.157</v>
      </c>
      <c r="AA59" s="2">
        <v>66.305078947368401</v>
      </c>
      <c r="AB59" s="2">
        <v>82.001000000000005</v>
      </c>
      <c r="AC59" s="2">
        <v>65.989999999999995</v>
      </c>
      <c r="AD59" s="2">
        <f>69.9-68.5</f>
        <v>1.4000000000000057</v>
      </c>
      <c r="AE59" s="2">
        <f>(245-212)/2</f>
        <v>16.5</v>
      </c>
      <c r="AF59" s="2">
        <f>61.6-58.4</f>
        <v>3.2000000000000028</v>
      </c>
      <c r="AG59" s="2">
        <v>2.1</v>
      </c>
      <c r="AH59" s="2">
        <v>10.1</v>
      </c>
      <c r="AI59" s="2">
        <v>6.6E-3</v>
      </c>
      <c r="AJ59" s="2">
        <f t="shared" si="1"/>
        <v>653.46534653465346</v>
      </c>
      <c r="AK59" s="2" t="s">
        <v>106</v>
      </c>
      <c r="AL59" s="2" t="s">
        <v>116</v>
      </c>
      <c r="AM59" s="2" t="s">
        <v>144</v>
      </c>
      <c r="AN59" s="2" t="s">
        <v>174</v>
      </c>
      <c r="AO59" s="2" t="s">
        <v>212</v>
      </c>
    </row>
    <row r="60" spans="1:41" x14ac:dyDescent="0.35">
      <c r="A60" s="2" t="s">
        <v>174</v>
      </c>
      <c r="B60" s="2" t="s">
        <v>108</v>
      </c>
      <c r="C60" s="2">
        <v>-65.2</v>
      </c>
      <c r="D60" s="2">
        <v>24.1</v>
      </c>
      <c r="E60" s="2">
        <v>203.54162426216115</v>
      </c>
      <c r="F60" s="2">
        <v>46.342539813588942</v>
      </c>
      <c r="G60" s="2">
        <v>79.448265837852816</v>
      </c>
      <c r="H60" s="2">
        <v>15.790391689547697</v>
      </c>
      <c r="I60" s="2">
        <v>69.560378408458661</v>
      </c>
      <c r="J60" s="2">
        <v>13.566407957779935</v>
      </c>
      <c r="K60" s="2">
        <v>38</v>
      </c>
      <c r="L60" s="2" t="s">
        <v>131</v>
      </c>
      <c r="M60" s="2" t="s">
        <v>131</v>
      </c>
      <c r="N60" s="2" t="s">
        <v>209</v>
      </c>
      <c r="O60" s="2" t="s">
        <v>126</v>
      </c>
      <c r="P60" s="2">
        <v>18</v>
      </c>
      <c r="Q60" s="2" t="s">
        <v>123</v>
      </c>
      <c r="R60" s="2">
        <v>79.047571428571445</v>
      </c>
      <c r="S60" s="2">
        <v>0.43464285714285705</v>
      </c>
      <c r="T60" s="2">
        <v>17.341785714285699</v>
      </c>
      <c r="U60" s="2">
        <v>0.60940624999999993</v>
      </c>
      <c r="V60" s="2">
        <v>0.43</v>
      </c>
      <c r="W60" s="2">
        <v>0.61699999999999999</v>
      </c>
      <c r="X60" s="2">
        <v>22.2986875</v>
      </c>
      <c r="Y60" s="2">
        <v>15.837</v>
      </c>
      <c r="Z60" s="2">
        <v>23.998000000000001</v>
      </c>
      <c r="AA60" s="2">
        <v>44.420406249999999</v>
      </c>
      <c r="AB60" s="2">
        <v>79.061000000000007</v>
      </c>
      <c r="AC60" s="2">
        <v>41.692999999999998</v>
      </c>
      <c r="AD60" s="2">
        <f>67.4-64.1</f>
        <v>3.3000000000000114</v>
      </c>
      <c r="AE60" s="2">
        <f>(292.7-211.1)/2</f>
        <v>40.799999999999997</v>
      </c>
      <c r="AF60" s="2">
        <f>59.4-58.3</f>
        <v>1.1000000000000014</v>
      </c>
      <c r="AG60" s="2">
        <v>1.45</v>
      </c>
      <c r="AH60" s="2">
        <v>11</v>
      </c>
      <c r="AI60" s="2">
        <v>4.9621099999999996E-3</v>
      </c>
      <c r="AJ60" s="2">
        <f t="shared" si="1"/>
        <v>451.10090909090906</v>
      </c>
      <c r="AK60" s="2">
        <v>7.6</v>
      </c>
      <c r="AL60" s="2" t="s">
        <v>116</v>
      </c>
      <c r="AM60" s="2" t="s">
        <v>144</v>
      </c>
      <c r="AN60" s="2" t="s">
        <v>174</v>
      </c>
      <c r="AO60" s="2" t="s">
        <v>212</v>
      </c>
    </row>
    <row r="61" spans="1:41" x14ac:dyDescent="0.35">
      <c r="A61" s="2" t="s">
        <v>174</v>
      </c>
      <c r="B61" s="2" t="s">
        <v>108</v>
      </c>
      <c r="C61" s="2">
        <v>-66.7</v>
      </c>
      <c r="D61" s="2">
        <v>24.5</v>
      </c>
      <c r="E61" s="2">
        <v>222.81639928698755</v>
      </c>
      <c r="F61" s="2">
        <v>43.570117108948388</v>
      </c>
      <c r="G61" s="2">
        <v>107.70092960647011</v>
      </c>
      <c r="H61" s="2">
        <v>17.166720157464081</v>
      </c>
      <c r="I61" s="2">
        <v>97.389949357226058</v>
      </c>
      <c r="J61" s="2">
        <v>14.873643765436505</v>
      </c>
      <c r="K61" s="2">
        <v>53</v>
      </c>
      <c r="L61" s="2" t="s">
        <v>144</v>
      </c>
      <c r="M61" s="2" t="s">
        <v>132</v>
      </c>
      <c r="N61" s="2" t="s">
        <v>209</v>
      </c>
      <c r="O61" s="2" t="s">
        <v>126</v>
      </c>
      <c r="P61" s="2">
        <v>18</v>
      </c>
      <c r="Q61" s="2" t="s">
        <v>123</v>
      </c>
      <c r="R61" s="2">
        <v>77.829062500000006</v>
      </c>
      <c r="S61" s="2">
        <v>0.44618750000000001</v>
      </c>
      <c r="T61" s="2">
        <v>18.0488125</v>
      </c>
      <c r="U61" s="2">
        <v>0.61158139534883738</v>
      </c>
      <c r="V61" s="2">
        <v>0.44800000000000001</v>
      </c>
      <c r="W61" s="2">
        <v>0.58499999999999996</v>
      </c>
      <c r="X61" s="2">
        <v>20.725651162790701</v>
      </c>
      <c r="Y61" s="2">
        <v>11.988</v>
      </c>
      <c r="Z61" s="2">
        <v>22.725999999999999</v>
      </c>
      <c r="AA61" s="2">
        <v>46.209651162790706</v>
      </c>
      <c r="AB61" s="2">
        <v>79.308000000000007</v>
      </c>
      <c r="AC61" s="2">
        <v>51.895000000000003</v>
      </c>
      <c r="AD61" s="2">
        <f>67.7-65.2</f>
        <v>2.5</v>
      </c>
      <c r="AE61" s="2">
        <f>(306-213)/2</f>
        <v>46.5</v>
      </c>
      <c r="AF61" s="2">
        <f>59.6-57.1</f>
        <v>2.5</v>
      </c>
      <c r="AG61" s="2">
        <v>2</v>
      </c>
      <c r="AH61" s="2">
        <v>9</v>
      </c>
      <c r="AI61" s="2">
        <v>4.7817099999999998E-3</v>
      </c>
      <c r="AJ61" s="2">
        <f t="shared" si="1"/>
        <v>531.30111111111103</v>
      </c>
      <c r="AK61" s="2">
        <v>9.4</v>
      </c>
      <c r="AL61" s="2" t="s">
        <v>116</v>
      </c>
      <c r="AM61" s="2" t="s">
        <v>144</v>
      </c>
      <c r="AN61" s="2" t="s">
        <v>174</v>
      </c>
      <c r="AO61" s="2" t="s">
        <v>212</v>
      </c>
    </row>
    <row r="62" spans="1:41" x14ac:dyDescent="0.35">
      <c r="A62" s="2" t="s">
        <v>175</v>
      </c>
      <c r="B62" s="2" t="s">
        <v>110</v>
      </c>
      <c r="C62" s="2">
        <v>-64.599999999999994</v>
      </c>
      <c r="D62" s="2">
        <v>24.9</v>
      </c>
      <c r="E62" s="2">
        <v>174.48961786773702</v>
      </c>
      <c r="F62" s="2">
        <v>71.279888994941132</v>
      </c>
      <c r="G62" s="2">
        <v>62.752003387936249</v>
      </c>
      <c r="H62" s="2">
        <v>21.179115271820681</v>
      </c>
      <c r="I62" s="2">
        <v>51.751798374993584</v>
      </c>
      <c r="J62" s="2">
        <v>16.801079914076528</v>
      </c>
      <c r="K62" s="2">
        <v>29</v>
      </c>
      <c r="L62" s="2" t="s">
        <v>131</v>
      </c>
      <c r="M62" s="2" t="s">
        <v>131</v>
      </c>
      <c r="N62" s="2" t="s">
        <v>209</v>
      </c>
      <c r="O62" s="2" t="s">
        <v>126</v>
      </c>
      <c r="P62" s="2">
        <v>17</v>
      </c>
      <c r="Q62" s="2" t="s">
        <v>123</v>
      </c>
      <c r="R62" s="2">
        <v>81.499454545454554</v>
      </c>
      <c r="S62" s="2">
        <v>0.85499999999999998</v>
      </c>
      <c r="T62" s="2">
        <v>9.88681818181818</v>
      </c>
      <c r="U62" s="2">
        <v>1.4452499999999999</v>
      </c>
      <c r="V62" s="2">
        <v>0.91600000000000004</v>
      </c>
      <c r="W62" s="2">
        <v>1.45</v>
      </c>
      <c r="X62" s="2">
        <v>12.264374999999999</v>
      </c>
      <c r="Y62" s="2">
        <v>3.9950000000000001</v>
      </c>
      <c r="Z62" s="2">
        <v>11</v>
      </c>
      <c r="AA62" s="2">
        <v>49.294291666666659</v>
      </c>
      <c r="AB62" s="2">
        <v>79.956000000000003</v>
      </c>
      <c r="AC62" s="2">
        <v>49.436</v>
      </c>
      <c r="AD62" s="2">
        <f>68.4-64.5</f>
        <v>3.9000000000000057</v>
      </c>
      <c r="AE62" s="2">
        <f>(361-219)/2</f>
        <v>71</v>
      </c>
      <c r="AF62" s="2">
        <f>53.4-52.1</f>
        <v>1.2999999999999972</v>
      </c>
      <c r="AG62" s="2">
        <v>0.75</v>
      </c>
      <c r="AH62" s="2">
        <v>26</v>
      </c>
      <c r="AI62" s="2">
        <v>8.7811499999999997E-3</v>
      </c>
      <c r="AJ62" s="2">
        <f t="shared" si="1"/>
        <v>337.73653846153843</v>
      </c>
      <c r="AK62" s="2">
        <v>4.5</v>
      </c>
      <c r="AL62" s="2" t="s">
        <v>116</v>
      </c>
      <c r="AM62" s="2" t="s">
        <v>144</v>
      </c>
      <c r="AN62" s="2" t="s">
        <v>175</v>
      </c>
      <c r="AO62" s="2" t="s">
        <v>211</v>
      </c>
    </row>
    <row r="63" spans="1:41" x14ac:dyDescent="0.35">
      <c r="A63" s="2" t="s">
        <v>175</v>
      </c>
      <c r="B63" s="2" t="s">
        <v>110</v>
      </c>
      <c r="C63" s="2">
        <v>-64.7</v>
      </c>
      <c r="D63" s="2">
        <v>25.3</v>
      </c>
      <c r="E63" s="2">
        <v>175.039383861369</v>
      </c>
      <c r="F63" s="2">
        <v>72.886639418067432</v>
      </c>
      <c r="G63" s="2">
        <v>75.402719808650261</v>
      </c>
      <c r="H63" s="2">
        <v>26.364546390972023</v>
      </c>
      <c r="I63" s="2">
        <v>63.995904262127318</v>
      </c>
      <c r="J63" s="2">
        <v>21.161335158989054</v>
      </c>
      <c r="K63" s="2">
        <v>37</v>
      </c>
      <c r="L63" s="2" t="s">
        <v>144</v>
      </c>
      <c r="M63" s="2" t="s">
        <v>132</v>
      </c>
      <c r="N63" s="2" t="s">
        <v>209</v>
      </c>
      <c r="O63" s="2" t="s">
        <v>126</v>
      </c>
      <c r="P63" s="2">
        <v>17</v>
      </c>
      <c r="Q63" s="2" t="s">
        <v>123</v>
      </c>
      <c r="R63" s="2">
        <v>74.386166666666668</v>
      </c>
      <c r="S63" s="2">
        <v>0.93566666666666676</v>
      </c>
      <c r="T63" s="2">
        <v>9.4277499999999996</v>
      </c>
      <c r="U63" s="2">
        <v>1.4497931034482763</v>
      </c>
      <c r="V63" s="2">
        <v>0.93</v>
      </c>
      <c r="W63" s="2">
        <v>1.587</v>
      </c>
      <c r="X63" s="2">
        <v>10.529827586206901</v>
      </c>
      <c r="Y63" s="2">
        <v>4.7380000000000004</v>
      </c>
      <c r="Z63" s="2">
        <v>9.9350000000000005</v>
      </c>
      <c r="AA63" s="2">
        <v>47.160482758620695</v>
      </c>
      <c r="AB63" s="2">
        <v>74.433000000000007</v>
      </c>
      <c r="AC63" s="2">
        <v>45.01</v>
      </c>
      <c r="AD63" s="2">
        <f>68.38-65</f>
        <v>3.3799999999999955</v>
      </c>
      <c r="AE63" s="2">
        <f>(364-220)/2</f>
        <v>72</v>
      </c>
      <c r="AF63" s="2">
        <f>52.2-51.2</f>
        <v>1</v>
      </c>
      <c r="AG63" s="2">
        <v>1.1000000000000001</v>
      </c>
      <c r="AH63" s="2">
        <v>31</v>
      </c>
      <c r="AI63" s="2">
        <v>7.9483100000000001E-3</v>
      </c>
      <c r="AJ63" s="2">
        <f t="shared" si="1"/>
        <v>256.39709677419353</v>
      </c>
      <c r="AK63" s="2">
        <v>4.5</v>
      </c>
      <c r="AL63" s="2" t="s">
        <v>116</v>
      </c>
      <c r="AM63" s="2" t="s">
        <v>144</v>
      </c>
      <c r="AN63" s="2" t="s">
        <v>175</v>
      </c>
      <c r="AO63" s="2" t="s">
        <v>211</v>
      </c>
    </row>
    <row r="64" spans="1:41" x14ac:dyDescent="0.35">
      <c r="A64" s="2" t="s">
        <v>175</v>
      </c>
      <c r="B64" s="2" t="s">
        <v>111</v>
      </c>
      <c r="C64" s="2">
        <v>-64.2</v>
      </c>
      <c r="D64" s="2">
        <v>25.7</v>
      </c>
      <c r="E64" s="2">
        <v>182.44845831052746</v>
      </c>
      <c r="F64" s="2">
        <v>96.015097985789808</v>
      </c>
      <c r="G64" s="2">
        <v>70.202225334699946</v>
      </c>
      <c r="H64" s="2">
        <v>41.206176496711308</v>
      </c>
      <c r="I64" s="2">
        <v>52.383446830801383</v>
      </c>
      <c r="J64" s="2">
        <v>26.755252925544475</v>
      </c>
      <c r="K64" s="2">
        <v>33</v>
      </c>
      <c r="L64" s="2" t="s">
        <v>131</v>
      </c>
      <c r="M64" s="2" t="s">
        <v>131</v>
      </c>
      <c r="N64" s="2" t="s">
        <v>209</v>
      </c>
      <c r="O64" s="2" t="s">
        <v>126</v>
      </c>
      <c r="P64" s="2">
        <v>17</v>
      </c>
      <c r="Q64" s="2" t="s">
        <v>123</v>
      </c>
      <c r="R64" s="2">
        <v>81.883133333333333</v>
      </c>
      <c r="S64" s="2">
        <v>0.7894000000000001</v>
      </c>
      <c r="T64" s="2">
        <v>13.282</v>
      </c>
      <c r="U64" s="2">
        <v>1.1109999999999998</v>
      </c>
      <c r="V64" s="2">
        <v>0.80200000000000005</v>
      </c>
      <c r="W64" s="2">
        <v>1.032</v>
      </c>
      <c r="X64" s="2">
        <v>16.581125</v>
      </c>
      <c r="Y64" s="2">
        <v>8.3940000000000001</v>
      </c>
      <c r="Z64" s="2" t="s">
        <v>106</v>
      </c>
      <c r="AA64" s="2">
        <v>58.846818181818179</v>
      </c>
      <c r="AB64" s="2">
        <v>83.159000000000006</v>
      </c>
      <c r="AC64" s="2">
        <v>50.457999999999998</v>
      </c>
      <c r="AD64" s="2">
        <f>68.97-64.47</f>
        <v>4.5</v>
      </c>
      <c r="AE64" s="2">
        <f>(388-226)/2</f>
        <v>81</v>
      </c>
      <c r="AF64" s="2">
        <f>54.79-50.49</f>
        <v>4.2999999999999972</v>
      </c>
      <c r="AG64" s="2">
        <v>0.161</v>
      </c>
      <c r="AH64" s="2" t="s">
        <v>106</v>
      </c>
      <c r="AI64" s="2" t="s">
        <v>106</v>
      </c>
      <c r="AJ64" s="2" t="s">
        <v>106</v>
      </c>
      <c r="AK64" s="2">
        <v>1.8</v>
      </c>
      <c r="AL64" s="2" t="s">
        <v>116</v>
      </c>
      <c r="AM64" s="2" t="s">
        <v>144</v>
      </c>
      <c r="AN64" s="2" t="s">
        <v>175</v>
      </c>
      <c r="AO64" s="2" t="s">
        <v>211</v>
      </c>
    </row>
    <row r="65" spans="1:41" x14ac:dyDescent="0.35">
      <c r="A65" s="2" t="s">
        <v>175</v>
      </c>
      <c r="B65" s="2" t="s">
        <v>111</v>
      </c>
      <c r="C65" s="2">
        <v>-63.9</v>
      </c>
      <c r="D65" s="2">
        <v>26.1</v>
      </c>
      <c r="E65" s="2">
        <v>171.35023989033547</v>
      </c>
      <c r="F65" s="2">
        <v>61.279092642046407</v>
      </c>
      <c r="G65" s="2">
        <v>67.30564808541547</v>
      </c>
      <c r="H65" s="2">
        <v>31.334740859357428</v>
      </c>
      <c r="I65" s="2">
        <v>43.95218002812927</v>
      </c>
      <c r="J65" s="2">
        <v>16.056326217729229</v>
      </c>
      <c r="K65" s="2">
        <v>31</v>
      </c>
      <c r="L65" s="2" t="s">
        <v>144</v>
      </c>
      <c r="M65" s="2" t="s">
        <v>132</v>
      </c>
      <c r="N65" s="2" t="s">
        <v>209</v>
      </c>
      <c r="O65" s="2" t="s">
        <v>126</v>
      </c>
      <c r="P65" s="2">
        <v>17</v>
      </c>
      <c r="Q65" s="2" t="s">
        <v>123</v>
      </c>
      <c r="R65" s="2">
        <v>67.63900000000001</v>
      </c>
      <c r="S65" s="2">
        <v>0.94490909090909081</v>
      </c>
      <c r="T65" s="2">
        <v>10.859636363636399</v>
      </c>
      <c r="U65" s="2">
        <v>1.1839047619047618</v>
      </c>
      <c r="V65" s="2">
        <v>0.95</v>
      </c>
      <c r="W65" s="2">
        <v>1.1479999999999999</v>
      </c>
      <c r="X65" s="2">
        <v>15.4739047619048</v>
      </c>
      <c r="Y65" s="2">
        <v>4.2809999999999997</v>
      </c>
      <c r="Z65" s="2" t="s">
        <v>106</v>
      </c>
      <c r="AA65" s="2">
        <v>50.944761904761904</v>
      </c>
      <c r="AB65" s="2">
        <v>72.870999999999995</v>
      </c>
      <c r="AC65" s="2">
        <v>50.442</v>
      </c>
      <c r="AD65" s="2">
        <f>65.5-62.2</f>
        <v>3.2999999999999972</v>
      </c>
      <c r="AE65" s="2">
        <f>(380-232)/2</f>
        <v>74</v>
      </c>
      <c r="AF65" s="2">
        <f>50.22-46.9</f>
        <v>3.3200000000000003</v>
      </c>
      <c r="AG65" s="2">
        <v>0.16</v>
      </c>
      <c r="AH65" s="2" t="s">
        <v>106</v>
      </c>
      <c r="AI65" s="2" t="s">
        <v>106</v>
      </c>
      <c r="AJ65" s="2" t="s">
        <v>106</v>
      </c>
      <c r="AK65" s="2">
        <v>1.8</v>
      </c>
      <c r="AL65" s="2" t="s">
        <v>116</v>
      </c>
      <c r="AM65" s="2" t="s">
        <v>144</v>
      </c>
      <c r="AN65" s="2" t="s">
        <v>175</v>
      </c>
      <c r="AO65" s="2" t="s">
        <v>211</v>
      </c>
    </row>
    <row r="66" spans="1:41" x14ac:dyDescent="0.35">
      <c r="A66" s="2" t="s">
        <v>175</v>
      </c>
      <c r="B66" s="2" t="s">
        <v>112</v>
      </c>
      <c r="C66" s="2">
        <v>-71.099999999999994</v>
      </c>
      <c r="D66" s="2">
        <v>26.5</v>
      </c>
      <c r="E66" s="2">
        <v>301.75015087507609</v>
      </c>
      <c r="F66" s="2">
        <v>39.601137834570999</v>
      </c>
      <c r="G66" s="2">
        <v>101.19394150492585</v>
      </c>
      <c r="H66" s="2">
        <v>9.8527247459496348</v>
      </c>
      <c r="I66" s="2">
        <v>90.530508781458948</v>
      </c>
      <c r="J66" s="2">
        <v>8.5604120739705625</v>
      </c>
      <c r="K66" s="2">
        <v>48</v>
      </c>
      <c r="L66" s="2" t="s">
        <v>131</v>
      </c>
      <c r="M66" s="2" t="s">
        <v>131</v>
      </c>
      <c r="N66" s="2" t="s">
        <v>209</v>
      </c>
      <c r="O66" s="2" t="s">
        <v>126</v>
      </c>
      <c r="P66" s="2">
        <v>17</v>
      </c>
      <c r="Q66" s="2" t="s">
        <v>123</v>
      </c>
      <c r="R66" s="2">
        <v>80.411000000000001</v>
      </c>
      <c r="S66" s="2">
        <v>0.47499999999999998</v>
      </c>
      <c r="T66" s="2">
        <v>14.682</v>
      </c>
      <c r="U66" s="2">
        <v>0.62919444444444439</v>
      </c>
      <c r="V66" s="2">
        <v>0.46300000000000002</v>
      </c>
      <c r="W66" s="2">
        <v>0.53</v>
      </c>
      <c r="X66" s="2">
        <v>18.462027777777799</v>
      </c>
      <c r="Y66" s="2">
        <v>12.363</v>
      </c>
      <c r="Z66" s="2">
        <v>16.071000000000002</v>
      </c>
      <c r="AA66" s="2">
        <v>64.808638888888879</v>
      </c>
      <c r="AB66" s="2">
        <v>81.451999999999998</v>
      </c>
      <c r="AC66" s="2">
        <v>67.551000000000002</v>
      </c>
      <c r="AD66" s="2">
        <f>74.2-72.1</f>
        <v>2.1000000000000085</v>
      </c>
      <c r="AE66" s="2">
        <f>(250-211)/2</f>
        <v>19.5</v>
      </c>
      <c r="AF66" s="2">
        <f>63.5-60.7</f>
        <v>2.7999999999999972</v>
      </c>
      <c r="AG66" s="2">
        <v>1.5</v>
      </c>
      <c r="AH66" s="2">
        <v>13</v>
      </c>
      <c r="AI66" s="2">
        <v>8.8919600000000008E-3</v>
      </c>
      <c r="AJ66" s="2">
        <f t="shared" si="1"/>
        <v>683.99692307692317</v>
      </c>
      <c r="AK66" s="2">
        <v>2.7</v>
      </c>
      <c r="AL66" s="2" t="s">
        <v>116</v>
      </c>
      <c r="AM66" s="2" t="s">
        <v>144</v>
      </c>
      <c r="AN66" s="2" t="s">
        <v>175</v>
      </c>
      <c r="AO66" s="2" t="s">
        <v>211</v>
      </c>
    </row>
    <row r="67" spans="1:41" x14ac:dyDescent="0.35">
      <c r="A67" s="2" t="s">
        <v>175</v>
      </c>
      <c r="B67" s="2" t="s">
        <v>112</v>
      </c>
      <c r="C67" s="2">
        <v>-72.8</v>
      </c>
      <c r="D67" s="2">
        <v>26.9</v>
      </c>
      <c r="E67" s="2">
        <v>300.48076923076894</v>
      </c>
      <c r="F67" s="2">
        <v>41.474835961415309</v>
      </c>
      <c r="G67" s="2">
        <v>121.06640787571359</v>
      </c>
      <c r="H67" s="2">
        <v>12.756565121126654</v>
      </c>
      <c r="I67" s="2">
        <v>101.58472165786213</v>
      </c>
      <c r="J67" s="2">
        <v>13.029444541950355</v>
      </c>
      <c r="K67" s="2">
        <v>59</v>
      </c>
      <c r="L67" s="2" t="s">
        <v>144</v>
      </c>
      <c r="M67" s="2" t="s">
        <v>132</v>
      </c>
      <c r="N67" s="2" t="s">
        <v>209</v>
      </c>
      <c r="O67" s="2" t="s">
        <v>126</v>
      </c>
      <c r="P67" s="2">
        <v>17</v>
      </c>
      <c r="Q67" s="2" t="s">
        <v>123</v>
      </c>
      <c r="R67" s="2">
        <v>89.049312499999999</v>
      </c>
      <c r="S67" s="2">
        <v>0.42656250000000001</v>
      </c>
      <c r="T67" s="2">
        <v>16.150375</v>
      </c>
      <c r="U67" s="2">
        <v>0.63341666666666663</v>
      </c>
      <c r="V67" s="2">
        <v>0.45200000000000001</v>
      </c>
      <c r="W67" s="2">
        <v>0.57399999999999995</v>
      </c>
      <c r="X67" s="2">
        <v>16.310270833333298</v>
      </c>
      <c r="Y67" s="2">
        <v>10.757999999999999</v>
      </c>
      <c r="Z67" s="2">
        <v>16.329000000000001</v>
      </c>
      <c r="AA67" s="2">
        <v>60.325458333333351</v>
      </c>
      <c r="AB67" s="2">
        <v>84.201999999999998</v>
      </c>
      <c r="AC67" s="2">
        <v>58.68</v>
      </c>
      <c r="AD67" s="2">
        <f>72.64-71.84</f>
        <v>0.79999999999999716</v>
      </c>
      <c r="AE67" s="2">
        <f>(240-214)/2</f>
        <v>13</v>
      </c>
      <c r="AF67" s="2">
        <f>62.6-59.7</f>
        <v>2.8999999999999986</v>
      </c>
      <c r="AG67" s="2">
        <v>2.2999999999999998</v>
      </c>
      <c r="AH67" s="2">
        <v>12</v>
      </c>
      <c r="AI67" s="2">
        <v>8.6317000000000008E-3</v>
      </c>
      <c r="AJ67" s="2">
        <f t="shared" si="1"/>
        <v>719.30833333333339</v>
      </c>
      <c r="AK67" s="2">
        <v>2.9</v>
      </c>
      <c r="AL67" s="2" t="s">
        <v>116</v>
      </c>
      <c r="AM67" s="2" t="s">
        <v>144</v>
      </c>
      <c r="AN67" s="2" t="s">
        <v>175</v>
      </c>
      <c r="AO67" s="2" t="s">
        <v>211</v>
      </c>
    </row>
    <row r="68" spans="1:41" x14ac:dyDescent="0.35">
      <c r="A68" s="2" t="s">
        <v>176</v>
      </c>
      <c r="B68" s="2" t="s">
        <v>113</v>
      </c>
      <c r="C68" s="2">
        <v>-68.900000000000006</v>
      </c>
      <c r="D68" s="2">
        <v>27.3</v>
      </c>
      <c r="E68" s="2">
        <v>265.18164942986039</v>
      </c>
      <c r="F68" s="2">
        <v>52.331245584900863</v>
      </c>
      <c r="G68" s="2">
        <v>110.253891105932</v>
      </c>
      <c r="H68" s="2">
        <v>12.790336945354523</v>
      </c>
      <c r="I68" s="2">
        <v>91.71787581399694</v>
      </c>
      <c r="J68" s="2">
        <v>10.483732253756534</v>
      </c>
      <c r="K68" s="2">
        <v>53</v>
      </c>
      <c r="L68" s="2" t="s">
        <v>131</v>
      </c>
      <c r="M68" s="2" t="s">
        <v>131</v>
      </c>
      <c r="N68" s="2" t="s">
        <v>209</v>
      </c>
      <c r="O68" s="2" t="s">
        <v>126</v>
      </c>
      <c r="P68" s="2">
        <v>18</v>
      </c>
      <c r="Q68" s="2" t="s">
        <v>123</v>
      </c>
      <c r="R68" s="2">
        <v>78.380375000000001</v>
      </c>
      <c r="S68" s="2">
        <v>0.4464375000000001</v>
      </c>
      <c r="T68" s="2">
        <v>22.981437499999998</v>
      </c>
      <c r="U68" s="2">
        <v>0.64629999999999987</v>
      </c>
      <c r="V68" s="2">
        <v>0.434</v>
      </c>
      <c r="W68" s="2">
        <v>0.55600000000000005</v>
      </c>
      <c r="X68" s="2">
        <v>24.182175000000001</v>
      </c>
      <c r="Y68" s="2">
        <v>21.545000000000002</v>
      </c>
      <c r="Z68" s="2">
        <v>24.631</v>
      </c>
      <c r="AA68" s="2">
        <v>53.028074999999987</v>
      </c>
      <c r="AB68" s="2">
        <v>76.299000000000007</v>
      </c>
      <c r="AC68" s="2">
        <v>53.89</v>
      </c>
      <c r="AD68" s="2">
        <f>72-70</f>
        <v>2</v>
      </c>
      <c r="AE68" s="2">
        <f>(261-212)/2</f>
        <v>24.5</v>
      </c>
      <c r="AF68" s="2">
        <f>63.7-59.8</f>
        <v>3.9000000000000057</v>
      </c>
      <c r="AG68" s="2">
        <v>2.6</v>
      </c>
      <c r="AH68" s="2">
        <v>7</v>
      </c>
      <c r="AI68" s="2">
        <v>4.9405300000000003E-3</v>
      </c>
      <c r="AJ68" s="2">
        <f t="shared" si="1"/>
        <v>705.79000000000008</v>
      </c>
      <c r="AK68" s="2">
        <v>6.5</v>
      </c>
      <c r="AL68" s="2" t="s">
        <v>116</v>
      </c>
      <c r="AM68" s="2" t="s">
        <v>144</v>
      </c>
      <c r="AN68" s="2" t="s">
        <v>176</v>
      </c>
      <c r="AO68" s="2" t="s">
        <v>211</v>
      </c>
    </row>
    <row r="69" spans="1:41" x14ac:dyDescent="0.35">
      <c r="A69" s="2" t="s">
        <v>176</v>
      </c>
      <c r="B69" s="2" t="s">
        <v>113</v>
      </c>
      <c r="C69" s="2">
        <v>-69.7</v>
      </c>
      <c r="D69" s="2">
        <v>27.7</v>
      </c>
      <c r="E69" s="2">
        <v>238.20867079561654</v>
      </c>
      <c r="F69" s="2">
        <v>50.415402089464216</v>
      </c>
      <c r="G69" s="2">
        <v>106.26296467608775</v>
      </c>
      <c r="H69" s="2">
        <v>15.870850580479118</v>
      </c>
      <c r="I69" s="2">
        <v>92.157404847479498</v>
      </c>
      <c r="J69" s="2">
        <v>13.261968407735271</v>
      </c>
      <c r="K69" s="2">
        <v>52</v>
      </c>
      <c r="L69" s="2" t="s">
        <v>144</v>
      </c>
      <c r="M69" s="2" t="s">
        <v>132</v>
      </c>
      <c r="N69" s="2" t="s">
        <v>209</v>
      </c>
      <c r="O69" s="2" t="s">
        <v>126</v>
      </c>
      <c r="P69" s="2">
        <v>18</v>
      </c>
      <c r="Q69" s="2" t="s">
        <v>123</v>
      </c>
      <c r="R69" s="2">
        <v>70.237636363636369</v>
      </c>
      <c r="S69" s="2">
        <v>0.46372727272727271</v>
      </c>
      <c r="T69" s="2">
        <v>26.397818181818199</v>
      </c>
      <c r="U69" s="2">
        <v>0.6983571428571429</v>
      </c>
      <c r="V69" s="2">
        <v>0.46200000000000002</v>
      </c>
      <c r="W69" s="2">
        <v>0.58399999999999996</v>
      </c>
      <c r="X69" s="2">
        <v>24.736190476190501</v>
      </c>
      <c r="Y69" s="2">
        <v>19.837</v>
      </c>
      <c r="Z69" s="2">
        <v>25.696999999999999</v>
      </c>
      <c r="AA69" s="2">
        <v>48.966261904761893</v>
      </c>
      <c r="AB69" s="2">
        <v>75.518000000000001</v>
      </c>
      <c r="AC69" s="2">
        <v>48.030999999999999</v>
      </c>
      <c r="AD69" s="2">
        <f>71.15-69.17</f>
        <v>1.980000000000004</v>
      </c>
      <c r="AE69" s="2">
        <f>(257-213)/2</f>
        <v>22</v>
      </c>
      <c r="AF69" s="2">
        <f>62-58.4</f>
        <v>3.6000000000000014</v>
      </c>
      <c r="AG69" s="2">
        <v>2.6</v>
      </c>
      <c r="AH69" s="2">
        <v>7</v>
      </c>
      <c r="AI69" s="2">
        <v>4.9918999999999996E-3</v>
      </c>
      <c r="AJ69" s="2">
        <f t="shared" ref="AJ69:AJ71" si="2">(AI69/AH69)*1000000</f>
        <v>713.12857142857138</v>
      </c>
      <c r="AK69" s="2">
        <v>5.3</v>
      </c>
      <c r="AL69" s="2" t="s">
        <v>116</v>
      </c>
      <c r="AM69" s="2" t="s">
        <v>144</v>
      </c>
      <c r="AN69" s="2" t="s">
        <v>176</v>
      </c>
      <c r="AO69" s="2" t="s">
        <v>211</v>
      </c>
    </row>
    <row r="70" spans="1:41" x14ac:dyDescent="0.35">
      <c r="A70" s="2" t="s">
        <v>176</v>
      </c>
      <c r="B70" s="2" t="s">
        <v>114</v>
      </c>
      <c r="C70" s="2">
        <v>-67.83</v>
      </c>
      <c r="D70" s="2">
        <v>28.1</v>
      </c>
      <c r="E70" s="2">
        <v>257.93139025019468</v>
      </c>
      <c r="F70" s="2">
        <v>44.036971692913475</v>
      </c>
      <c r="G70" s="2">
        <v>93.967021316956249</v>
      </c>
      <c r="H70" s="2">
        <v>12.802881050610901</v>
      </c>
      <c r="I70" s="2">
        <v>82.953131480713736</v>
      </c>
      <c r="J70" s="2">
        <v>10.534843054525206</v>
      </c>
      <c r="K70" s="2">
        <v>47</v>
      </c>
      <c r="L70" s="2" t="s">
        <v>131</v>
      </c>
      <c r="M70" s="2" t="s">
        <v>131</v>
      </c>
      <c r="N70" s="2" t="s">
        <v>209</v>
      </c>
      <c r="O70" s="2" t="s">
        <v>126</v>
      </c>
      <c r="P70" s="2">
        <v>18</v>
      </c>
      <c r="Q70" s="2" t="s">
        <v>123</v>
      </c>
      <c r="R70" s="2">
        <v>77.804500000000019</v>
      </c>
      <c r="S70" s="2">
        <v>0.47499999999999998</v>
      </c>
      <c r="T70" s="2">
        <v>18.5365</v>
      </c>
      <c r="U70" s="2">
        <v>0.66940625000000031</v>
      </c>
      <c r="V70" s="2">
        <v>0.46700000000000003</v>
      </c>
      <c r="W70" s="2">
        <v>0.53300000000000003</v>
      </c>
      <c r="X70" s="2">
        <v>20.470515151515102</v>
      </c>
      <c r="Y70" s="2">
        <v>16.632000000000001</v>
      </c>
      <c r="Z70" s="2">
        <v>21.664000000000001</v>
      </c>
      <c r="AA70" s="2">
        <v>62.371093749999993</v>
      </c>
      <c r="AB70" s="2" t="s">
        <v>106</v>
      </c>
      <c r="AC70" s="2">
        <v>62.774999999999999</v>
      </c>
      <c r="AD70" s="2">
        <f>67.7-65.5</f>
        <v>2.2000000000000028</v>
      </c>
      <c r="AE70" s="2">
        <f>(258-212)/2</f>
        <v>23</v>
      </c>
      <c r="AF70" s="2">
        <v>0</v>
      </c>
      <c r="AG70" s="2">
        <v>3.2</v>
      </c>
      <c r="AH70" s="2">
        <v>7</v>
      </c>
      <c r="AI70" s="2">
        <v>1.39796E-2</v>
      </c>
      <c r="AJ70" s="2">
        <f t="shared" si="2"/>
        <v>1997.0857142857144</v>
      </c>
      <c r="AK70" s="2">
        <v>7</v>
      </c>
      <c r="AL70" s="2" t="s">
        <v>116</v>
      </c>
      <c r="AM70" s="2" t="s">
        <v>144</v>
      </c>
      <c r="AN70" s="2" t="s">
        <v>176</v>
      </c>
      <c r="AO70" s="2" t="s">
        <v>211</v>
      </c>
    </row>
    <row r="71" spans="1:41" x14ac:dyDescent="0.35">
      <c r="A71" s="2" t="s">
        <v>176</v>
      </c>
      <c r="B71" s="2" t="s">
        <v>114</v>
      </c>
      <c r="C71" s="2">
        <v>-67.680000000000007</v>
      </c>
      <c r="D71" s="2">
        <v>28.5</v>
      </c>
      <c r="E71" s="2">
        <v>241.54589371980757</v>
      </c>
      <c r="F71" s="2">
        <v>40.631378147425558</v>
      </c>
      <c r="G71" s="2">
        <v>99.607234668855313</v>
      </c>
      <c r="H71" s="2">
        <v>12.531883908637306</v>
      </c>
      <c r="I71" s="2">
        <v>83.118610256836078</v>
      </c>
      <c r="J71" s="2">
        <v>10.102158054788404</v>
      </c>
      <c r="K71" s="2">
        <v>48</v>
      </c>
      <c r="L71" s="2" t="s">
        <v>144</v>
      </c>
      <c r="M71" s="2" t="s">
        <v>132</v>
      </c>
      <c r="N71" s="2" t="s">
        <v>209</v>
      </c>
      <c r="O71" s="2" t="s">
        <v>126</v>
      </c>
      <c r="P71" s="2">
        <v>18</v>
      </c>
      <c r="Q71" s="2" t="s">
        <v>123</v>
      </c>
      <c r="R71" s="2">
        <v>78.998166666666677</v>
      </c>
      <c r="S71" s="2">
        <v>0.48625000000000002</v>
      </c>
      <c r="T71" s="2">
        <v>17.6584166666667</v>
      </c>
      <c r="U71" s="2">
        <v>0.71188888888888846</v>
      </c>
      <c r="V71" s="2">
        <v>0.83199999999999996</v>
      </c>
      <c r="W71" s="2">
        <v>0.58299999999999996</v>
      </c>
      <c r="X71" s="2">
        <v>19.492555555555601</v>
      </c>
      <c r="Y71" s="2">
        <v>11.337999999999999</v>
      </c>
      <c r="Z71" s="2">
        <v>17.585999999999999</v>
      </c>
      <c r="AA71" s="2">
        <v>58.425416666666656</v>
      </c>
      <c r="AB71" s="2" t="s">
        <v>106</v>
      </c>
      <c r="AC71" s="2">
        <v>61.051000000000002</v>
      </c>
      <c r="AD71" s="2">
        <f>65.9-63.5</f>
        <v>2.4000000000000057</v>
      </c>
      <c r="AE71" s="2">
        <f>(252-212)/2</f>
        <v>20</v>
      </c>
      <c r="AF71" s="2">
        <v>0</v>
      </c>
      <c r="AG71" s="2">
        <v>3.5</v>
      </c>
      <c r="AH71" s="2">
        <v>9</v>
      </c>
      <c r="AI71" s="2">
        <v>1.42636E-2</v>
      </c>
      <c r="AJ71" s="2">
        <f t="shared" si="2"/>
        <v>1584.8444444444444</v>
      </c>
      <c r="AK71" s="2">
        <v>6.8</v>
      </c>
      <c r="AL71" s="2" t="s">
        <v>116</v>
      </c>
      <c r="AM71" s="2" t="s">
        <v>144</v>
      </c>
      <c r="AN71" s="2" t="s">
        <v>176</v>
      </c>
      <c r="AO71" s="2" t="s">
        <v>211</v>
      </c>
    </row>
    <row r="72" spans="1:41" x14ac:dyDescent="0.35">
      <c r="A72" s="2" t="s">
        <v>177</v>
      </c>
      <c r="B72" s="2" t="s">
        <v>36</v>
      </c>
      <c r="C72" s="2">
        <v>-66.599999999999994</v>
      </c>
      <c r="D72" s="2">
        <v>28.9</v>
      </c>
      <c r="E72" s="2">
        <v>225.37750732476982</v>
      </c>
      <c r="F72" s="2">
        <v>66.302123321578719</v>
      </c>
      <c r="G72" s="2">
        <v>43.25263147355637</v>
      </c>
      <c r="H72" s="2">
        <v>13.363529405963211</v>
      </c>
      <c r="I72" s="2">
        <v>34.825004353125507</v>
      </c>
      <c r="J72" s="2">
        <v>9.6929511772219445</v>
      </c>
      <c r="K72" s="2">
        <v>23</v>
      </c>
      <c r="L72" s="2" t="s">
        <v>131</v>
      </c>
      <c r="M72" s="2" t="s">
        <v>131</v>
      </c>
      <c r="N72" s="2" t="s">
        <v>31</v>
      </c>
      <c r="O72" s="2" t="s">
        <v>127</v>
      </c>
      <c r="P72" s="2">
        <v>17</v>
      </c>
      <c r="Q72" s="2" t="s">
        <v>123</v>
      </c>
      <c r="R72" s="2">
        <v>77.050933333333347</v>
      </c>
      <c r="S72" s="2">
        <v>0.49259999999999998</v>
      </c>
      <c r="T72" s="2">
        <v>18.8968666666667</v>
      </c>
      <c r="U72" s="2">
        <v>0.88419047619047608</v>
      </c>
      <c r="V72" s="2">
        <v>0.501</v>
      </c>
      <c r="W72" s="2">
        <v>0.69099999999999995</v>
      </c>
      <c r="X72" s="2">
        <v>22.173428571428602</v>
      </c>
      <c r="Y72" s="2">
        <v>12.305</v>
      </c>
      <c r="Z72" s="2">
        <v>21.533000000000001</v>
      </c>
      <c r="AA72" s="2">
        <v>48.924761904761908</v>
      </c>
      <c r="AB72" s="2">
        <v>81.48</v>
      </c>
      <c r="AC72" s="2">
        <v>46.896000000000001</v>
      </c>
      <c r="AD72" s="2">
        <f>69.9-66.8</f>
        <v>3.1000000000000085</v>
      </c>
      <c r="AE72" s="2">
        <f>(307-214)/2</f>
        <v>46.5</v>
      </c>
      <c r="AF72" s="2">
        <f>59-54</f>
        <v>5</v>
      </c>
      <c r="AG72" s="2">
        <v>2.6</v>
      </c>
      <c r="AH72" s="2">
        <v>9.9</v>
      </c>
      <c r="AI72" s="2">
        <v>5.2176599999999998E-3</v>
      </c>
      <c r="AJ72" s="2">
        <f t="shared" ref="AJ72:AJ85" si="3">(AI72/AH72)*1000000</f>
        <v>527.0363636363636</v>
      </c>
      <c r="AK72" s="2">
        <v>3.9</v>
      </c>
      <c r="AL72" s="2" t="s">
        <v>116</v>
      </c>
      <c r="AM72" s="2" t="s">
        <v>144</v>
      </c>
      <c r="AN72" s="2" t="s">
        <v>177</v>
      </c>
      <c r="AO72" s="2" t="s">
        <v>211</v>
      </c>
    </row>
    <row r="73" spans="1:41" x14ac:dyDescent="0.35">
      <c r="A73" s="2" t="s">
        <v>177</v>
      </c>
      <c r="B73" s="2" t="s">
        <v>36</v>
      </c>
      <c r="C73" s="2">
        <v>-66.8</v>
      </c>
      <c r="D73" s="2">
        <v>29.3</v>
      </c>
      <c r="E73" s="2">
        <v>197.04433497536991</v>
      </c>
      <c r="F73" s="2">
        <v>64.61786153179979</v>
      </c>
      <c r="G73" s="2">
        <v>57.141039129127563</v>
      </c>
      <c r="H73" s="2">
        <v>14.283547583418288</v>
      </c>
      <c r="I73" s="2">
        <v>47.469856641033132</v>
      </c>
      <c r="J73" s="2">
        <v>10.943503820338856</v>
      </c>
      <c r="K73" s="2">
        <v>26</v>
      </c>
      <c r="L73" s="2" t="s">
        <v>144</v>
      </c>
      <c r="M73" s="2" t="s">
        <v>132</v>
      </c>
      <c r="N73" s="2" t="s">
        <v>31</v>
      </c>
      <c r="O73" s="2" t="s">
        <v>127</v>
      </c>
      <c r="P73" s="2">
        <v>17</v>
      </c>
      <c r="Q73" s="2" t="s">
        <v>123</v>
      </c>
      <c r="R73" s="2">
        <v>72.61066666666666</v>
      </c>
      <c r="S73" s="2">
        <v>0.52008333333333345</v>
      </c>
      <c r="T73" s="2">
        <v>20.297916666666701</v>
      </c>
      <c r="U73" s="2">
        <v>0.73128000000000015</v>
      </c>
      <c r="V73" s="2">
        <v>0.53</v>
      </c>
      <c r="W73" s="2">
        <v>0.751</v>
      </c>
      <c r="X73" s="2">
        <v>23.238</v>
      </c>
      <c r="Y73" s="2">
        <v>11.96</v>
      </c>
      <c r="Z73" s="2">
        <v>25.097000000000001</v>
      </c>
      <c r="AA73" s="2">
        <v>41.904200000000003</v>
      </c>
      <c r="AB73" s="2">
        <v>81.727000000000004</v>
      </c>
      <c r="AC73" s="2">
        <v>38.58</v>
      </c>
      <c r="AD73" s="2">
        <f>69.8-67.1</f>
        <v>2.7000000000000028</v>
      </c>
      <c r="AE73" s="2">
        <f>(311-217)/2</f>
        <v>47</v>
      </c>
      <c r="AF73" s="2">
        <f>57.7-53.8</f>
        <v>3.9000000000000057</v>
      </c>
      <c r="AG73" s="2">
        <v>2.6</v>
      </c>
      <c r="AH73" s="2">
        <v>12</v>
      </c>
      <c r="AI73" s="2">
        <v>6.2452200000000001E-3</v>
      </c>
      <c r="AJ73" s="2">
        <f t="shared" si="3"/>
        <v>520.43499999999995</v>
      </c>
      <c r="AK73" s="2">
        <v>3.8</v>
      </c>
      <c r="AL73" s="2" t="s">
        <v>116</v>
      </c>
      <c r="AM73" s="2" t="s">
        <v>144</v>
      </c>
      <c r="AN73" s="2" t="s">
        <v>177</v>
      </c>
      <c r="AO73" s="2" t="s">
        <v>211</v>
      </c>
    </row>
    <row r="74" spans="1:41" x14ac:dyDescent="0.35">
      <c r="A74" s="2" t="s">
        <v>178</v>
      </c>
      <c r="B74" s="2" t="s">
        <v>34</v>
      </c>
      <c r="C74" s="2">
        <v>-65.3</v>
      </c>
      <c r="D74" s="2">
        <v>29.7</v>
      </c>
      <c r="E74" s="2">
        <v>288.10141169691701</v>
      </c>
      <c r="F74" s="2">
        <v>79.476212421452274</v>
      </c>
      <c r="G74" s="2">
        <v>84.623195894644198</v>
      </c>
      <c r="H74" s="2">
        <v>25.482684574479233</v>
      </c>
      <c r="I74" s="2">
        <v>66.006600660066113</v>
      </c>
      <c r="J74" s="2">
        <v>18.931924628422575</v>
      </c>
      <c r="K74" s="2">
        <v>59</v>
      </c>
      <c r="L74" s="2" t="s">
        <v>131</v>
      </c>
      <c r="M74" s="2" t="s">
        <v>131</v>
      </c>
      <c r="N74" s="2" t="s">
        <v>31</v>
      </c>
      <c r="O74" s="2" t="s">
        <v>127</v>
      </c>
      <c r="P74" s="2">
        <v>16</v>
      </c>
      <c r="Q74" s="2" t="s">
        <v>123</v>
      </c>
      <c r="R74" s="2">
        <v>86.98637500000001</v>
      </c>
      <c r="S74" s="2">
        <v>0.56156249999999996</v>
      </c>
      <c r="T74" s="2">
        <v>4.2486875</v>
      </c>
      <c r="U74" s="2">
        <v>0.77497727272727279</v>
      </c>
      <c r="V74" s="2">
        <v>0.56399999999999995</v>
      </c>
      <c r="W74" s="2">
        <v>0.60799999999999998</v>
      </c>
      <c r="X74" s="2">
        <v>10.4089411764706</v>
      </c>
      <c r="Y74" s="2">
        <v>1.9430000000000001</v>
      </c>
      <c r="Z74" s="2">
        <v>10.723000000000001</v>
      </c>
      <c r="AA74" s="2">
        <v>58.780772727272726</v>
      </c>
      <c r="AB74" s="2">
        <v>86.096000000000004</v>
      </c>
      <c r="AC74" s="2">
        <v>69.239000000000004</v>
      </c>
      <c r="AD74" s="2">
        <f>68-65.8</f>
        <v>2.2000000000000028</v>
      </c>
      <c r="AE74" s="2">
        <f>(293-217)/2</f>
        <v>38</v>
      </c>
      <c r="AF74" s="2">
        <f>57-53</f>
        <v>4</v>
      </c>
      <c r="AG74" s="2">
        <v>0.6</v>
      </c>
      <c r="AH74" s="2">
        <v>23.6</v>
      </c>
      <c r="AI74" s="2">
        <v>6.8034699999999998E-3</v>
      </c>
      <c r="AJ74" s="2">
        <f t="shared" si="3"/>
        <v>288.28262711864403</v>
      </c>
      <c r="AK74" s="2">
        <v>3.5</v>
      </c>
      <c r="AL74" s="2" t="s">
        <v>116</v>
      </c>
      <c r="AM74" s="2" t="s">
        <v>144</v>
      </c>
      <c r="AN74" s="2" t="s">
        <v>178</v>
      </c>
      <c r="AO74" s="2" t="s">
        <v>212</v>
      </c>
    </row>
    <row r="75" spans="1:41" x14ac:dyDescent="0.35">
      <c r="A75" s="2" t="s">
        <v>178</v>
      </c>
      <c r="B75" s="2" t="s">
        <v>34</v>
      </c>
      <c r="C75" s="2">
        <v>-68.599999999999994</v>
      </c>
      <c r="D75" s="2">
        <v>30.1</v>
      </c>
      <c r="E75" s="2">
        <v>277.70063871146908</v>
      </c>
      <c r="F75" s="2">
        <v>74.600176608866505</v>
      </c>
      <c r="G75" s="2">
        <v>111.24521417234986</v>
      </c>
      <c r="H75" s="2">
        <v>24.782432802508868</v>
      </c>
      <c r="I75" s="2">
        <v>96.274188889958069</v>
      </c>
      <c r="J75" s="2">
        <v>20.711530177163347</v>
      </c>
      <c r="K75" s="2">
        <v>54</v>
      </c>
      <c r="L75" s="2" t="s">
        <v>144</v>
      </c>
      <c r="M75" s="2" t="s">
        <v>132</v>
      </c>
      <c r="N75" s="2" t="s">
        <v>31</v>
      </c>
      <c r="O75" s="2" t="s">
        <v>127</v>
      </c>
      <c r="P75" s="2">
        <v>16</v>
      </c>
      <c r="Q75" s="2" t="s">
        <v>123</v>
      </c>
      <c r="R75" s="2">
        <v>85.636533333333333</v>
      </c>
      <c r="S75" s="2">
        <v>0.58586666666666654</v>
      </c>
      <c r="T75" s="2">
        <v>4.3874000000000004</v>
      </c>
      <c r="U75" s="2">
        <v>0.77203333333333324</v>
      </c>
      <c r="V75" s="2">
        <v>0.57899999999999996</v>
      </c>
      <c r="W75" s="2">
        <v>0.623</v>
      </c>
      <c r="X75" s="2">
        <v>13.4137441860465</v>
      </c>
      <c r="Y75" s="2">
        <v>4.2729999999999997</v>
      </c>
      <c r="Z75" s="2">
        <v>12.571</v>
      </c>
      <c r="AA75" s="2">
        <v>52.045418604651175</v>
      </c>
      <c r="AB75" s="2">
        <v>84.837000000000003</v>
      </c>
      <c r="AC75" s="2">
        <v>68.543999999999997</v>
      </c>
      <c r="AD75" s="2">
        <f>68.3-66.6</f>
        <v>1.7000000000000028</v>
      </c>
      <c r="AE75" s="2">
        <f>(298-220)/2</f>
        <v>39</v>
      </c>
      <c r="AF75" s="2">
        <f>55.53-51.3</f>
        <v>4.230000000000004</v>
      </c>
      <c r="AG75" s="2">
        <v>0.75</v>
      </c>
      <c r="AH75" s="2">
        <v>26</v>
      </c>
      <c r="AI75" s="2">
        <v>8.7342700000000006E-3</v>
      </c>
      <c r="AJ75" s="2">
        <f t="shared" si="3"/>
        <v>335.93346153846153</v>
      </c>
      <c r="AK75" s="2">
        <v>3.4</v>
      </c>
      <c r="AL75" s="2" t="s">
        <v>116</v>
      </c>
      <c r="AM75" s="2" t="s">
        <v>144</v>
      </c>
      <c r="AN75" s="2" t="s">
        <v>178</v>
      </c>
      <c r="AO75" s="2" t="s">
        <v>212</v>
      </c>
    </row>
    <row r="76" spans="1:41" x14ac:dyDescent="0.35">
      <c r="A76" s="2" t="s">
        <v>178</v>
      </c>
      <c r="B76" s="2" t="s">
        <v>35</v>
      </c>
      <c r="C76" s="2">
        <v>-65.599999999999994</v>
      </c>
      <c r="D76" s="2">
        <v>30.5</v>
      </c>
      <c r="E76" s="2">
        <v>246.91358024691462</v>
      </c>
      <c r="F76" s="2">
        <v>49.69618693731357</v>
      </c>
      <c r="G76" s="2">
        <v>77.050055660525686</v>
      </c>
      <c r="H76" s="2">
        <v>15.828904968733074</v>
      </c>
      <c r="I76" s="2">
        <v>70.402703463812685</v>
      </c>
      <c r="J76" s="2">
        <v>14.22027919047704</v>
      </c>
      <c r="K76" s="2">
        <v>50</v>
      </c>
      <c r="L76" s="2" t="s">
        <v>131</v>
      </c>
      <c r="M76" s="2" t="s">
        <v>131</v>
      </c>
      <c r="N76" s="2" t="s">
        <v>31</v>
      </c>
      <c r="O76" s="2" t="s">
        <v>127</v>
      </c>
      <c r="P76" s="2">
        <v>16</v>
      </c>
      <c r="Q76" s="2" t="s">
        <v>123</v>
      </c>
      <c r="R76" s="2">
        <v>78.368631578947358</v>
      </c>
      <c r="S76" s="2">
        <v>0.49336842105263151</v>
      </c>
      <c r="T76" s="2">
        <v>18.121526315789499</v>
      </c>
      <c r="U76" s="2">
        <v>0.6298918918918921</v>
      </c>
      <c r="V76" s="2">
        <v>0.496</v>
      </c>
      <c r="W76" s="2">
        <v>0.64300000000000002</v>
      </c>
      <c r="X76" s="2">
        <v>20.4324864864865</v>
      </c>
      <c r="Y76" s="2">
        <v>12.02</v>
      </c>
      <c r="Z76" s="2">
        <v>21.283999999999999</v>
      </c>
      <c r="AA76" s="2">
        <v>55.013378378378384</v>
      </c>
      <c r="AB76" s="2">
        <v>82.486000000000004</v>
      </c>
      <c r="AC76" s="2">
        <v>52.542999999999999</v>
      </c>
      <c r="AD76" s="2">
        <f>68.4-66.1</f>
        <v>2.3000000000000114</v>
      </c>
      <c r="AE76" s="2">
        <f>(287-213)/2</f>
        <v>37</v>
      </c>
      <c r="AF76" s="2">
        <f>58.1-56.5</f>
        <v>1.6000000000000014</v>
      </c>
      <c r="AG76" s="2">
        <v>2.6</v>
      </c>
      <c r="AH76" s="2">
        <v>11</v>
      </c>
      <c r="AI76" s="2">
        <v>6.7407400000000003E-3</v>
      </c>
      <c r="AJ76" s="2">
        <f t="shared" si="3"/>
        <v>612.79454545454553</v>
      </c>
      <c r="AK76" s="2">
        <v>5.6</v>
      </c>
      <c r="AL76" s="2" t="s">
        <v>116</v>
      </c>
      <c r="AM76" s="2" t="s">
        <v>144</v>
      </c>
      <c r="AN76" s="2" t="s">
        <v>178</v>
      </c>
      <c r="AO76" s="2" t="s">
        <v>212</v>
      </c>
    </row>
    <row r="77" spans="1:41" x14ac:dyDescent="0.35">
      <c r="A77" s="2" t="s">
        <v>178</v>
      </c>
      <c r="B77" s="2" t="s">
        <v>35</v>
      </c>
      <c r="C77" s="2">
        <v>-67.599999999999994</v>
      </c>
      <c r="D77" s="2">
        <v>30.9</v>
      </c>
      <c r="E77" s="2">
        <v>213.67521367521337</v>
      </c>
      <c r="F77" s="2">
        <v>42.987283253880264</v>
      </c>
      <c r="G77" s="2">
        <v>101.2736297186583</v>
      </c>
      <c r="H77" s="2">
        <v>17.526484201556407</v>
      </c>
      <c r="I77" s="2">
        <v>92.421441774492223</v>
      </c>
      <c r="J77" s="2">
        <v>16.535822306373142</v>
      </c>
      <c r="K77" s="2">
        <v>50</v>
      </c>
      <c r="L77" s="2" t="s">
        <v>144</v>
      </c>
      <c r="M77" s="2" t="s">
        <v>132</v>
      </c>
      <c r="N77" s="2" t="s">
        <v>31</v>
      </c>
      <c r="O77" s="2" t="s">
        <v>127</v>
      </c>
      <c r="P77" s="2">
        <v>16</v>
      </c>
      <c r="Q77" s="2" t="s">
        <v>123</v>
      </c>
      <c r="R77" s="2">
        <v>76.617187500000014</v>
      </c>
      <c r="S77" s="2">
        <v>0.499</v>
      </c>
      <c r="T77" s="2">
        <v>18.3121875</v>
      </c>
      <c r="U77" s="2">
        <v>0.62958333333333349</v>
      </c>
      <c r="V77" s="2">
        <v>0.51800000000000002</v>
      </c>
      <c r="W77" s="2">
        <v>0.63100000000000001</v>
      </c>
      <c r="X77" s="2">
        <v>21.316277777777799</v>
      </c>
      <c r="Y77" s="2">
        <v>13.215</v>
      </c>
      <c r="Z77" s="2">
        <v>20.728999999999999</v>
      </c>
      <c r="AA77" s="2">
        <v>51.785277777777772</v>
      </c>
      <c r="AB77" s="2">
        <v>77.819000000000003</v>
      </c>
      <c r="AC77" s="2">
        <v>50.429000000000002</v>
      </c>
      <c r="AD77" s="2">
        <f>68.55-66.78</f>
        <v>1.769999999999996</v>
      </c>
      <c r="AE77" s="2">
        <f>(290-216)/2</f>
        <v>37</v>
      </c>
      <c r="AF77" s="2">
        <f>56.9-55.5</f>
        <v>1.3999999999999986</v>
      </c>
      <c r="AG77" s="2">
        <v>2.9</v>
      </c>
      <c r="AH77" s="2">
        <v>14</v>
      </c>
      <c r="AI77" s="2">
        <v>7.2576300000000002E-3</v>
      </c>
      <c r="AJ77" s="2">
        <f t="shared" si="3"/>
        <v>518.40214285714285</v>
      </c>
      <c r="AK77" s="2">
        <v>5.2</v>
      </c>
      <c r="AL77" s="2" t="s">
        <v>116</v>
      </c>
      <c r="AM77" s="2" t="s">
        <v>144</v>
      </c>
      <c r="AN77" s="2" t="s">
        <v>178</v>
      </c>
      <c r="AO77" s="2" t="s">
        <v>212</v>
      </c>
    </row>
    <row r="78" spans="1:41" x14ac:dyDescent="0.35">
      <c r="A78" s="2" t="s">
        <v>179</v>
      </c>
      <c r="B78" s="2" t="s">
        <v>84</v>
      </c>
      <c r="C78" s="2">
        <v>-63</v>
      </c>
      <c r="D78" s="2">
        <v>31.3</v>
      </c>
      <c r="E78" s="2">
        <v>53.850296176628994</v>
      </c>
      <c r="F78" s="2">
        <v>152.53641600559516</v>
      </c>
      <c r="G78" s="2">
        <v>27.338917929728815</v>
      </c>
      <c r="H78" s="2">
        <v>61.660586718400296</v>
      </c>
      <c r="I78" s="2">
        <v>26.938929446943792</v>
      </c>
      <c r="J78" s="2">
        <v>50.541882347563202</v>
      </c>
      <c r="K78" s="2">
        <v>14</v>
      </c>
      <c r="L78" s="2" t="s">
        <v>131</v>
      </c>
      <c r="M78" s="2" t="s">
        <v>131</v>
      </c>
      <c r="N78" s="2" t="s">
        <v>31</v>
      </c>
      <c r="O78" s="2" t="s">
        <v>208</v>
      </c>
      <c r="P78" s="2">
        <v>3</v>
      </c>
      <c r="Q78" s="2" t="s">
        <v>124</v>
      </c>
      <c r="R78" s="2">
        <v>76.173866666666669</v>
      </c>
      <c r="S78" s="2">
        <v>1.1830666666666665</v>
      </c>
      <c r="T78" s="2">
        <v>22.0946</v>
      </c>
      <c r="U78" s="2">
        <v>2.1400289999999997</v>
      </c>
      <c r="V78" s="2">
        <v>1.69815</v>
      </c>
      <c r="W78" s="2">
        <v>2.2162500000000001</v>
      </c>
      <c r="X78" s="2">
        <v>13.51014</v>
      </c>
      <c r="Y78" s="2">
        <v>1.0680999999999901</v>
      </c>
      <c r="Z78" s="2">
        <v>11.352600000000001</v>
      </c>
      <c r="AA78" s="2">
        <v>51.696780000000004</v>
      </c>
      <c r="AB78" s="2">
        <v>61.523400000000002</v>
      </c>
      <c r="AC78" s="2">
        <v>48.339799999999997</v>
      </c>
      <c r="AD78" s="2" t="s">
        <v>106</v>
      </c>
      <c r="AE78" s="2" t="s">
        <v>106</v>
      </c>
      <c r="AF78" s="2" t="s">
        <v>106</v>
      </c>
      <c r="AG78" s="2">
        <v>0.16</v>
      </c>
      <c r="AH78" s="2">
        <v>63</v>
      </c>
      <c r="AI78" s="2">
        <v>1.51583E-2</v>
      </c>
      <c r="AJ78" s="2">
        <f t="shared" si="3"/>
        <v>240.6079365079365</v>
      </c>
      <c r="AK78" s="2">
        <v>1.7</v>
      </c>
      <c r="AL78" s="2" t="s">
        <v>116</v>
      </c>
      <c r="AM78" s="2" t="s">
        <v>144</v>
      </c>
      <c r="AN78" s="2" t="s">
        <v>179</v>
      </c>
      <c r="AO78" s="2" t="s">
        <v>211</v>
      </c>
    </row>
    <row r="79" spans="1:41" x14ac:dyDescent="0.35">
      <c r="A79" s="2" t="s">
        <v>179</v>
      </c>
      <c r="B79" s="2" t="s">
        <v>84</v>
      </c>
      <c r="C79" s="2">
        <v>-64.790000000000006</v>
      </c>
      <c r="D79" s="2">
        <v>31.7</v>
      </c>
      <c r="E79" s="2">
        <v>60.21557174685374</v>
      </c>
      <c r="F79" s="2">
        <v>145.75563158332596</v>
      </c>
      <c r="G79" s="2">
        <v>29.104246338974875</v>
      </c>
      <c r="H79" s="2">
        <v>61.859972668902003</v>
      </c>
      <c r="I79" s="2">
        <v>25.740025740025725</v>
      </c>
      <c r="J79" s="2">
        <v>50.899804068948207</v>
      </c>
      <c r="K79" s="2">
        <v>16</v>
      </c>
      <c r="L79" s="2" t="s">
        <v>144</v>
      </c>
      <c r="M79" s="2" t="s">
        <v>132</v>
      </c>
      <c r="N79" s="2" t="s">
        <v>31</v>
      </c>
      <c r="O79" s="2" t="s">
        <v>208</v>
      </c>
      <c r="P79" s="2">
        <v>3</v>
      </c>
      <c r="Q79" s="2" t="s">
        <v>124</v>
      </c>
      <c r="R79" s="2">
        <v>74.800466666666665</v>
      </c>
      <c r="S79" s="2">
        <v>1.2857999999999998</v>
      </c>
      <c r="T79" s="2">
        <v>6.7282666666666699</v>
      </c>
      <c r="U79" s="2">
        <v>2.4418266666666661</v>
      </c>
      <c r="V79" s="2">
        <v>2.1270099999999998</v>
      </c>
      <c r="W79" s="2">
        <v>2.6436700000000002</v>
      </c>
      <c r="X79" s="2">
        <v>12.0307333333333</v>
      </c>
      <c r="Y79" s="2">
        <v>0.18310000000000315</v>
      </c>
      <c r="Z79" s="2">
        <v>11.9018</v>
      </c>
      <c r="AA79" s="2">
        <v>47.00725555555556</v>
      </c>
      <c r="AB79" s="2">
        <v>52.978499999999997</v>
      </c>
      <c r="AC79" s="2">
        <v>44.952399999999997</v>
      </c>
      <c r="AD79" s="2" t="s">
        <v>106</v>
      </c>
      <c r="AE79" s="2" t="s">
        <v>106</v>
      </c>
      <c r="AF79" s="2" t="s">
        <v>106</v>
      </c>
      <c r="AG79" s="2">
        <v>0.18</v>
      </c>
      <c r="AH79" s="2">
        <v>63</v>
      </c>
      <c r="AI79" s="2">
        <v>1.78998E-2</v>
      </c>
      <c r="AJ79" s="2">
        <f t="shared" si="3"/>
        <v>284.12380952380954</v>
      </c>
      <c r="AK79" s="2">
        <v>1.8</v>
      </c>
      <c r="AL79" s="2" t="s">
        <v>116</v>
      </c>
      <c r="AM79" s="2" t="s">
        <v>144</v>
      </c>
      <c r="AN79" s="2" t="s">
        <v>179</v>
      </c>
      <c r="AO79" s="2" t="s">
        <v>211</v>
      </c>
    </row>
    <row r="80" spans="1:41" x14ac:dyDescent="0.35">
      <c r="A80" s="2" t="s">
        <v>179</v>
      </c>
      <c r="B80" s="2" t="s">
        <v>85</v>
      </c>
      <c r="C80" s="2">
        <v>-66</v>
      </c>
      <c r="D80" s="2">
        <v>32.1</v>
      </c>
      <c r="E80" s="2">
        <v>107.25010725010743</v>
      </c>
      <c r="F80" s="2">
        <v>158.76329014910138</v>
      </c>
      <c r="G80" s="2">
        <v>42.779260753229138</v>
      </c>
      <c r="H80" s="2">
        <v>50.943031973874007</v>
      </c>
      <c r="I80" s="2">
        <v>41.034058268362735</v>
      </c>
      <c r="J80" s="2">
        <v>44.502296404317107</v>
      </c>
      <c r="K80" s="2">
        <v>21</v>
      </c>
      <c r="L80" s="2" t="s">
        <v>131</v>
      </c>
      <c r="M80" s="2" t="s">
        <v>131</v>
      </c>
      <c r="N80" s="2" t="s">
        <v>31</v>
      </c>
      <c r="O80" s="2" t="s">
        <v>208</v>
      </c>
      <c r="P80" s="2">
        <v>3</v>
      </c>
      <c r="Q80" s="2" t="s">
        <v>124</v>
      </c>
      <c r="R80" s="2">
        <v>69.405133333333339</v>
      </c>
      <c r="S80" s="2">
        <v>0.99193333333333322</v>
      </c>
      <c r="T80" s="2">
        <v>5.2408000000000001</v>
      </c>
      <c r="U80" s="2">
        <v>1.2998129411764705</v>
      </c>
      <c r="V80" s="2">
        <v>0.99307999999999996</v>
      </c>
      <c r="W80" s="2">
        <v>1.19231</v>
      </c>
      <c r="X80" s="2">
        <v>12.198064705882301</v>
      </c>
      <c r="Y80" s="2">
        <v>3.2042999999999999</v>
      </c>
      <c r="Z80" s="2">
        <v>13.977</v>
      </c>
      <c r="AA80" s="2">
        <v>38.220504998013126</v>
      </c>
      <c r="AB80" s="2">
        <v>67.535399999999996</v>
      </c>
      <c r="AC80" s="2">
        <v>51.330599999999997</v>
      </c>
      <c r="AD80" s="2" t="s">
        <v>106</v>
      </c>
      <c r="AE80" s="2" t="s">
        <v>106</v>
      </c>
      <c r="AF80" s="2" t="s">
        <v>106</v>
      </c>
      <c r="AG80" s="2">
        <v>0.35</v>
      </c>
      <c r="AH80" s="2">
        <v>52</v>
      </c>
      <c r="AI80" s="2">
        <v>1.39574E-2</v>
      </c>
      <c r="AJ80" s="2">
        <f t="shared" si="3"/>
        <v>268.41153846153844</v>
      </c>
      <c r="AK80" s="2">
        <v>1.3</v>
      </c>
      <c r="AL80" s="2" t="s">
        <v>116</v>
      </c>
      <c r="AM80" s="2" t="s">
        <v>144</v>
      </c>
      <c r="AN80" s="2" t="s">
        <v>179</v>
      </c>
      <c r="AO80" s="2" t="s">
        <v>211</v>
      </c>
    </row>
    <row r="81" spans="1:41" x14ac:dyDescent="0.35">
      <c r="A81" s="2" t="s">
        <v>179</v>
      </c>
      <c r="B81" s="2" t="s">
        <v>85</v>
      </c>
      <c r="C81" s="2">
        <v>-64.3</v>
      </c>
      <c r="D81" s="2">
        <v>32.5</v>
      </c>
      <c r="E81" s="2">
        <v>88.331419485911155</v>
      </c>
      <c r="F81" s="2">
        <v>127.59572155300634</v>
      </c>
      <c r="G81" s="2">
        <v>39.391647682915725</v>
      </c>
      <c r="H81" s="2">
        <v>45.351884274552077</v>
      </c>
      <c r="I81" s="2">
        <v>40.202621210902912</v>
      </c>
      <c r="J81" s="2">
        <v>39.464743330780983</v>
      </c>
      <c r="K81" s="2">
        <v>20</v>
      </c>
      <c r="L81" s="2" t="s">
        <v>144</v>
      </c>
      <c r="M81" s="2" t="s">
        <v>132</v>
      </c>
      <c r="N81" s="2" t="s">
        <v>31</v>
      </c>
      <c r="O81" s="2" t="s">
        <v>208</v>
      </c>
      <c r="P81" s="2">
        <v>3</v>
      </c>
      <c r="Q81" s="2" t="s">
        <v>124</v>
      </c>
      <c r="R81" s="2">
        <v>67.131769230769223</v>
      </c>
      <c r="S81" s="2">
        <v>1.0104615384615385</v>
      </c>
      <c r="T81" s="2">
        <v>6.1292307692307704</v>
      </c>
      <c r="U81" s="2">
        <v>1.3132740000000001</v>
      </c>
      <c r="V81" s="2">
        <v>1.0234799999999999</v>
      </c>
      <c r="W81" s="2">
        <v>1.1226400000000001</v>
      </c>
      <c r="X81" s="2">
        <v>15.9952733333333</v>
      </c>
      <c r="Y81" s="2">
        <v>6.9274999999999904</v>
      </c>
      <c r="Z81" s="2">
        <v>16.082799999999999</v>
      </c>
      <c r="AA81" s="2">
        <v>49.20653999999999</v>
      </c>
      <c r="AB81" s="2">
        <v>63.171399999999998</v>
      </c>
      <c r="AC81" s="2">
        <v>49.041699999999999</v>
      </c>
      <c r="AD81" s="2" t="s">
        <v>106</v>
      </c>
      <c r="AE81" s="2" t="s">
        <v>106</v>
      </c>
      <c r="AF81" s="2" t="s">
        <v>106</v>
      </c>
      <c r="AG81" s="2">
        <v>0.25</v>
      </c>
      <c r="AH81" s="2">
        <v>60</v>
      </c>
      <c r="AI81" s="2">
        <v>1.7566499999999999E-2</v>
      </c>
      <c r="AJ81" s="2">
        <f t="shared" si="3"/>
        <v>292.77499999999998</v>
      </c>
      <c r="AK81" s="2">
        <v>2.1</v>
      </c>
      <c r="AL81" s="2" t="s">
        <v>116</v>
      </c>
      <c r="AM81" s="2" t="s">
        <v>144</v>
      </c>
      <c r="AN81" s="2" t="s">
        <v>179</v>
      </c>
      <c r="AO81" s="2" t="s">
        <v>211</v>
      </c>
    </row>
    <row r="82" spans="1:41" x14ac:dyDescent="0.35">
      <c r="A82" s="2" t="s">
        <v>180</v>
      </c>
      <c r="B82" s="2" t="s">
        <v>86</v>
      </c>
      <c r="C82" s="2">
        <v>-62</v>
      </c>
      <c r="D82" s="2">
        <v>32.9</v>
      </c>
      <c r="E82" s="2">
        <v>123.83900928792588</v>
      </c>
      <c r="F82" s="2">
        <v>112.72421849063812</v>
      </c>
      <c r="G82" s="2">
        <v>50.602171778714776</v>
      </c>
      <c r="H82" s="2">
        <v>42.651158289966808</v>
      </c>
      <c r="I82" s="2">
        <v>44.267374944665939</v>
      </c>
      <c r="J82" s="2">
        <v>36.512446434301587</v>
      </c>
      <c r="K82" s="2">
        <v>25</v>
      </c>
      <c r="L82" s="2" t="s">
        <v>131</v>
      </c>
      <c r="M82" s="2" t="s">
        <v>131</v>
      </c>
      <c r="N82" s="2" t="s">
        <v>31</v>
      </c>
      <c r="O82" s="2" t="s">
        <v>208</v>
      </c>
      <c r="P82" s="2">
        <v>2</v>
      </c>
      <c r="Q82" s="2" t="s">
        <v>124</v>
      </c>
      <c r="R82" s="2">
        <v>58.934909090909088</v>
      </c>
      <c r="S82" s="2">
        <v>1.0869090909090908</v>
      </c>
      <c r="T82" s="2">
        <v>7.4547272727272702</v>
      </c>
      <c r="U82" s="2">
        <v>1.7443180000000003</v>
      </c>
      <c r="V82" s="2">
        <v>1.1126199999999999</v>
      </c>
      <c r="W82" s="2">
        <v>1.7229699999999999</v>
      </c>
      <c r="X82" s="2">
        <v>9.2529350000000008</v>
      </c>
      <c r="Y82" s="2">
        <v>4.9744000000000002</v>
      </c>
      <c r="Z82" s="2">
        <v>9.8877000000000006</v>
      </c>
      <c r="AA82" s="2">
        <v>45.128705484160108</v>
      </c>
      <c r="AB82" s="2">
        <v>63.018799999999999</v>
      </c>
      <c r="AC82" s="2">
        <v>41.656500000000001</v>
      </c>
      <c r="AD82" s="2" t="s">
        <v>106</v>
      </c>
      <c r="AE82" s="2" t="s">
        <v>106</v>
      </c>
      <c r="AF82" s="2" t="s">
        <v>106</v>
      </c>
      <c r="AG82" s="2">
        <v>0.4</v>
      </c>
      <c r="AH82" s="2">
        <v>46</v>
      </c>
      <c r="AI82" s="2">
        <v>1.4630000000000001E-2</v>
      </c>
      <c r="AJ82" s="2">
        <f t="shared" si="3"/>
        <v>318.04347826086962</v>
      </c>
      <c r="AK82" s="2">
        <v>2.2000000000000002</v>
      </c>
      <c r="AL82" s="2" t="s">
        <v>116</v>
      </c>
      <c r="AM82" s="2" t="s">
        <v>144</v>
      </c>
      <c r="AN82" s="2" t="s">
        <v>180</v>
      </c>
      <c r="AO82" s="2" t="s">
        <v>212</v>
      </c>
    </row>
    <row r="83" spans="1:41" x14ac:dyDescent="0.35">
      <c r="A83" s="2" t="s">
        <v>180</v>
      </c>
      <c r="B83" s="2" t="s">
        <v>86</v>
      </c>
      <c r="C83" s="2">
        <v>-65.3</v>
      </c>
      <c r="D83" s="2">
        <v>33.299999999999997</v>
      </c>
      <c r="E83" s="2">
        <v>96.553055904219377</v>
      </c>
      <c r="F83" s="2">
        <v>104.47335037005689</v>
      </c>
      <c r="G83" s="2">
        <v>41.830987611809988</v>
      </c>
      <c r="H83" s="2">
        <v>34.410342383221838</v>
      </c>
      <c r="I83" s="2">
        <v>43.900083410158487</v>
      </c>
      <c r="J83" s="2">
        <v>30.166110426745501</v>
      </c>
      <c r="K83" s="2">
        <v>22</v>
      </c>
      <c r="L83" s="2" t="s">
        <v>144</v>
      </c>
      <c r="M83" s="2" t="s">
        <v>132</v>
      </c>
      <c r="N83" s="2" t="s">
        <v>31</v>
      </c>
      <c r="O83" s="2" t="s">
        <v>208</v>
      </c>
      <c r="P83" s="2">
        <v>2</v>
      </c>
      <c r="Q83" s="2" t="s">
        <v>124</v>
      </c>
      <c r="R83" s="2">
        <v>63.29807692307692</v>
      </c>
      <c r="S83" s="2">
        <v>1.1555384615384614</v>
      </c>
      <c r="T83" s="2">
        <v>7.7584615384615399</v>
      </c>
      <c r="U83" s="2">
        <v>1.7167388235294117</v>
      </c>
      <c r="V83" s="2">
        <v>1.1775500000000001</v>
      </c>
      <c r="W83" s="2">
        <v>1.8623000000000001</v>
      </c>
      <c r="X83" s="2">
        <v>11.882099999999999</v>
      </c>
      <c r="Y83" s="2">
        <v>5.55419999999999</v>
      </c>
      <c r="Z83" s="2">
        <v>11.993399999999999</v>
      </c>
      <c r="AA83" s="2">
        <v>46.108464705882341</v>
      </c>
      <c r="AB83" s="2">
        <v>61.523400000000002</v>
      </c>
      <c r="AC83" s="2">
        <v>46.569800000000001</v>
      </c>
      <c r="AD83" s="2" t="s">
        <v>106</v>
      </c>
      <c r="AE83" s="2" t="s">
        <v>106</v>
      </c>
      <c r="AF83" s="2" t="s">
        <v>106</v>
      </c>
      <c r="AG83" s="2">
        <v>0.35</v>
      </c>
      <c r="AH83" s="2">
        <v>49</v>
      </c>
      <c r="AI83" s="2">
        <v>1.9344199999999999E-2</v>
      </c>
      <c r="AJ83" s="2">
        <f t="shared" si="3"/>
        <v>394.77959183673465</v>
      </c>
      <c r="AK83" s="2">
        <v>2.2999999999999998</v>
      </c>
      <c r="AL83" s="2" t="s">
        <v>116</v>
      </c>
      <c r="AM83" s="2" t="s">
        <v>144</v>
      </c>
      <c r="AN83" s="2" t="s">
        <v>180</v>
      </c>
      <c r="AO83" s="2" t="s">
        <v>212</v>
      </c>
    </row>
    <row r="84" spans="1:41" x14ac:dyDescent="0.35">
      <c r="A84" s="2" t="s">
        <v>180</v>
      </c>
      <c r="B84" s="2" t="s">
        <v>87</v>
      </c>
      <c r="C84" s="2">
        <v>-62.8</v>
      </c>
      <c r="D84" s="2">
        <v>33.700000000000003</v>
      </c>
      <c r="E84" s="2">
        <v>112.99435028248595</v>
      </c>
      <c r="F84" s="2">
        <v>175.17591904761662</v>
      </c>
      <c r="G84" s="2">
        <v>52.261747660647139</v>
      </c>
      <c r="H84" s="2">
        <v>49.523223355666929</v>
      </c>
      <c r="I84" s="2">
        <v>48.000768012288269</v>
      </c>
      <c r="J84" s="2">
        <v>40.61583796672695</v>
      </c>
      <c r="K84" s="2">
        <v>25</v>
      </c>
      <c r="L84" s="2" t="s">
        <v>131</v>
      </c>
      <c r="M84" s="2" t="s">
        <v>131</v>
      </c>
      <c r="N84" s="2" t="s">
        <v>31</v>
      </c>
      <c r="O84" s="2" t="s">
        <v>208</v>
      </c>
      <c r="P84" s="2">
        <v>2</v>
      </c>
      <c r="Q84" s="2" t="s">
        <v>124</v>
      </c>
      <c r="R84" s="2" t="s">
        <v>106</v>
      </c>
      <c r="S84" s="2" t="s">
        <v>106</v>
      </c>
      <c r="T84" s="2" t="s">
        <v>106</v>
      </c>
      <c r="U84" s="2">
        <v>2.1210509523809522</v>
      </c>
      <c r="V84" s="2">
        <v>1.2011700000000001</v>
      </c>
      <c r="W84" s="2">
        <v>2.13226</v>
      </c>
      <c r="X84" s="2">
        <v>12.5456238095238</v>
      </c>
      <c r="Y84" s="2">
        <v>5.0048000000000004</v>
      </c>
      <c r="Z84" s="2">
        <v>11.474600000000001</v>
      </c>
      <c r="AA84" s="2">
        <v>45.591814285714278</v>
      </c>
      <c r="AB84" s="2">
        <v>60.058599999999998</v>
      </c>
      <c r="AC84" s="2">
        <v>45.257599999999996</v>
      </c>
      <c r="AD84" s="2" t="s">
        <v>106</v>
      </c>
      <c r="AE84" s="2" t="s">
        <v>106</v>
      </c>
      <c r="AF84" s="2" t="s">
        <v>106</v>
      </c>
      <c r="AG84" s="2">
        <v>0.26</v>
      </c>
      <c r="AH84" s="2">
        <v>83</v>
      </c>
      <c r="AI84" s="2">
        <v>1.74641E-2</v>
      </c>
      <c r="AJ84" s="2">
        <f t="shared" si="3"/>
        <v>210.41084337349398</v>
      </c>
      <c r="AK84" s="2">
        <v>1.6</v>
      </c>
      <c r="AL84" s="2" t="s">
        <v>116</v>
      </c>
      <c r="AM84" s="2" t="s">
        <v>144</v>
      </c>
      <c r="AN84" s="2" t="s">
        <v>180</v>
      </c>
      <c r="AO84" s="2" t="s">
        <v>212</v>
      </c>
    </row>
    <row r="85" spans="1:41" x14ac:dyDescent="0.35">
      <c r="A85" s="2" t="s">
        <v>180</v>
      </c>
      <c r="B85" s="2" t="s">
        <v>87</v>
      </c>
      <c r="C85" s="2">
        <v>-63.8</v>
      </c>
      <c r="D85" s="2">
        <v>34.1</v>
      </c>
      <c r="E85" s="2">
        <v>76.388358414177631</v>
      </c>
      <c r="F85" s="2">
        <v>129.50195830397496</v>
      </c>
      <c r="G85" s="2">
        <v>49.029340317861838</v>
      </c>
      <c r="H85" s="2">
        <v>38.875628645166017</v>
      </c>
      <c r="I85" s="2">
        <v>39.788326105120696</v>
      </c>
      <c r="J85" s="2">
        <v>38.527795327713761</v>
      </c>
      <c r="K85" s="2">
        <v>21</v>
      </c>
      <c r="L85" s="2" t="s">
        <v>144</v>
      </c>
      <c r="M85" s="2" t="s">
        <v>132</v>
      </c>
      <c r="N85" s="2" t="s">
        <v>31</v>
      </c>
      <c r="O85" s="2" t="s">
        <v>208</v>
      </c>
      <c r="P85" s="2">
        <v>2</v>
      </c>
      <c r="Q85" s="2" t="s">
        <v>124</v>
      </c>
      <c r="R85" s="2" t="s">
        <v>106</v>
      </c>
      <c r="S85" s="2" t="s">
        <v>106</v>
      </c>
      <c r="T85" s="2" t="s">
        <v>106</v>
      </c>
      <c r="U85" s="2">
        <v>2.1924307692307696</v>
      </c>
      <c r="V85" s="2">
        <v>1.38632</v>
      </c>
      <c r="W85" s="2">
        <v>2.1581800000000002</v>
      </c>
      <c r="X85" s="2">
        <v>13.4840769230769</v>
      </c>
      <c r="Y85" s="2">
        <v>4.3334999999999999</v>
      </c>
      <c r="Z85" s="2">
        <v>13.732900000000001</v>
      </c>
      <c r="AA85" s="2">
        <v>45.48293846153846</v>
      </c>
      <c r="AB85" s="2">
        <v>57.220500000000001</v>
      </c>
      <c r="AC85" s="2">
        <v>45.593299999999999</v>
      </c>
      <c r="AD85" s="2" t="s">
        <v>106</v>
      </c>
      <c r="AE85" s="2" t="s">
        <v>106</v>
      </c>
      <c r="AF85" s="2" t="s">
        <v>106</v>
      </c>
      <c r="AG85" s="2">
        <v>0.14000000000000001</v>
      </c>
      <c r="AH85" s="2">
        <v>152</v>
      </c>
      <c r="AI85" s="2">
        <v>3.6957400000000001E-2</v>
      </c>
      <c r="AJ85" s="2">
        <f t="shared" si="3"/>
        <v>243.14078947368421</v>
      </c>
      <c r="AK85" s="2">
        <v>1.7</v>
      </c>
      <c r="AL85" s="2" t="s">
        <v>116</v>
      </c>
      <c r="AM85" s="2" t="s">
        <v>144</v>
      </c>
      <c r="AN85" s="2" t="s">
        <v>180</v>
      </c>
      <c r="AO85" s="2" t="s">
        <v>212</v>
      </c>
    </row>
    <row r="86" spans="1:41" x14ac:dyDescent="0.35">
      <c r="A86" s="2" t="s">
        <v>181</v>
      </c>
      <c r="B86" s="2" t="s">
        <v>88</v>
      </c>
      <c r="C86" s="2">
        <v>-56</v>
      </c>
      <c r="D86" s="2">
        <v>34.5</v>
      </c>
      <c r="E86" s="2">
        <v>108.87316276537831</v>
      </c>
      <c r="F86" s="2">
        <v>83.962303365286019</v>
      </c>
      <c r="G86" s="2">
        <v>52.556349421764821</v>
      </c>
      <c r="H86" s="2">
        <v>40.98256582693331</v>
      </c>
      <c r="I86" s="2">
        <v>45.977011494252871</v>
      </c>
      <c r="J86" s="2">
        <v>33.846830390648989</v>
      </c>
      <c r="K86" s="2">
        <v>26</v>
      </c>
      <c r="L86" s="2" t="s">
        <v>131</v>
      </c>
      <c r="M86" s="2" t="s">
        <v>131</v>
      </c>
      <c r="N86" s="2" t="s">
        <v>31</v>
      </c>
      <c r="O86" s="2" t="s">
        <v>208</v>
      </c>
      <c r="P86" s="2">
        <v>2</v>
      </c>
      <c r="Q86" s="2" t="s">
        <v>124</v>
      </c>
      <c r="R86" s="2">
        <v>71.158083333333323</v>
      </c>
      <c r="S86" s="2">
        <v>1.2506249999999999</v>
      </c>
      <c r="T86" s="2">
        <v>15.188874999999999</v>
      </c>
      <c r="U86" s="2">
        <v>1.6113611111111108</v>
      </c>
      <c r="V86" s="2">
        <v>1.3284400000000001</v>
      </c>
      <c r="W86" s="2">
        <v>1.63279</v>
      </c>
      <c r="X86" s="2">
        <v>17.522172222222199</v>
      </c>
      <c r="Y86" s="2">
        <v>16.876300000000001</v>
      </c>
      <c r="Z86" s="2">
        <v>17.761299999999999</v>
      </c>
      <c r="AA86" s="2">
        <v>60.770672222222224</v>
      </c>
      <c r="AB86" s="2">
        <v>69.702100000000002</v>
      </c>
      <c r="AC86" s="2">
        <v>60.180700000000002</v>
      </c>
      <c r="AD86" s="2" t="s">
        <v>106</v>
      </c>
      <c r="AE86" s="2" t="s">
        <v>106</v>
      </c>
      <c r="AF86" s="2" t="s">
        <v>106</v>
      </c>
      <c r="AG86" s="2">
        <v>0.6</v>
      </c>
      <c r="AH86" s="2" t="s">
        <v>106</v>
      </c>
      <c r="AI86" s="2" t="s">
        <v>106</v>
      </c>
      <c r="AJ86" s="2" t="s">
        <v>106</v>
      </c>
      <c r="AK86" s="2">
        <v>1.7</v>
      </c>
      <c r="AL86" s="2" t="s">
        <v>116</v>
      </c>
      <c r="AM86" s="2" t="s">
        <v>144</v>
      </c>
      <c r="AN86" s="2" t="s">
        <v>181</v>
      </c>
      <c r="AO86" s="2" t="s">
        <v>212</v>
      </c>
    </row>
    <row r="87" spans="1:41" x14ac:dyDescent="0.35">
      <c r="A87" s="2" t="s">
        <v>181</v>
      </c>
      <c r="B87" s="2" t="s">
        <v>88</v>
      </c>
      <c r="C87" s="2">
        <v>-60</v>
      </c>
      <c r="D87" s="2">
        <v>34.9</v>
      </c>
      <c r="E87" s="2">
        <v>117.0960187353631</v>
      </c>
      <c r="F87" s="2">
        <v>88.037229577333974</v>
      </c>
      <c r="G87" s="2">
        <v>58.845391280167711</v>
      </c>
      <c r="H87" s="2">
        <v>43.906165636234547</v>
      </c>
      <c r="I87" s="2">
        <v>50.428643469490567</v>
      </c>
      <c r="J87" s="2">
        <v>34.803308834221767</v>
      </c>
      <c r="K87" s="2">
        <v>29</v>
      </c>
      <c r="L87" s="2" t="s">
        <v>144</v>
      </c>
      <c r="M87" s="2" t="s">
        <v>132</v>
      </c>
      <c r="N87" s="2" t="s">
        <v>31</v>
      </c>
      <c r="O87" s="2" t="s">
        <v>208</v>
      </c>
      <c r="P87" s="2">
        <v>2</v>
      </c>
      <c r="Q87" s="2" t="s">
        <v>124</v>
      </c>
      <c r="R87" s="2">
        <v>73.328583333333327</v>
      </c>
      <c r="S87" s="2">
        <v>1.1890000000000001</v>
      </c>
      <c r="T87" s="2">
        <v>15.508041666666699</v>
      </c>
      <c r="U87" s="2">
        <v>1.486126111111111</v>
      </c>
      <c r="V87" s="2">
        <v>1.22458</v>
      </c>
      <c r="W87" s="2">
        <v>1.4384600000000001</v>
      </c>
      <c r="X87" s="2">
        <v>17.8731166666667</v>
      </c>
      <c r="Y87" s="2">
        <v>15.503</v>
      </c>
      <c r="Z87" s="2">
        <v>19.805900000000001</v>
      </c>
      <c r="AA87" s="2">
        <v>64.054694444444436</v>
      </c>
      <c r="AB87" s="2">
        <v>70.281999999999996</v>
      </c>
      <c r="AC87" s="2">
        <v>62.6526</v>
      </c>
      <c r="AD87" s="2" t="s">
        <v>106</v>
      </c>
      <c r="AE87" s="2" t="s">
        <v>106</v>
      </c>
      <c r="AF87" s="2" t="s">
        <v>106</v>
      </c>
      <c r="AG87" s="2">
        <v>0.15</v>
      </c>
      <c r="AH87" s="2" t="s">
        <v>106</v>
      </c>
      <c r="AI87" s="2" t="s">
        <v>106</v>
      </c>
      <c r="AJ87" s="2" t="s">
        <v>106</v>
      </c>
      <c r="AK87" s="2">
        <v>2</v>
      </c>
      <c r="AL87" s="2" t="s">
        <v>116</v>
      </c>
      <c r="AM87" s="2" t="s">
        <v>144</v>
      </c>
      <c r="AN87" s="2" t="s">
        <v>181</v>
      </c>
      <c r="AO87" s="2" t="s">
        <v>212</v>
      </c>
    </row>
    <row r="88" spans="1:41" x14ac:dyDescent="0.35">
      <c r="A88" s="2" t="s">
        <v>181</v>
      </c>
      <c r="B88" s="2" t="s">
        <v>89</v>
      </c>
      <c r="C88" s="2">
        <v>-65.599999999999994</v>
      </c>
      <c r="D88" s="2">
        <v>35.299999999999997</v>
      </c>
      <c r="E88" s="2">
        <v>105.9883412824589</v>
      </c>
      <c r="F88" s="2">
        <v>101.87926538687243</v>
      </c>
      <c r="G88" s="2">
        <v>59.049966726885998</v>
      </c>
      <c r="H88" s="2">
        <v>53.736634364827928</v>
      </c>
      <c r="I88" s="2">
        <v>54.710581026370441</v>
      </c>
      <c r="J88" s="2">
        <v>55.275248630970538</v>
      </c>
      <c r="K88" s="2">
        <v>29</v>
      </c>
      <c r="L88" s="2" t="s">
        <v>131</v>
      </c>
      <c r="M88" s="2" t="s">
        <v>131</v>
      </c>
      <c r="N88" s="2" t="s">
        <v>31</v>
      </c>
      <c r="O88" s="2" t="s">
        <v>208</v>
      </c>
      <c r="P88" s="2">
        <v>2</v>
      </c>
      <c r="Q88" s="2" t="s">
        <v>124</v>
      </c>
      <c r="R88" s="2">
        <v>77.832541666666671</v>
      </c>
      <c r="S88" s="2">
        <v>1.1420416666666666</v>
      </c>
      <c r="T88" s="2">
        <v>20.2610833333333</v>
      </c>
      <c r="U88" s="2">
        <v>1.530772105263158</v>
      </c>
      <c r="V88" s="2">
        <v>1.23445</v>
      </c>
      <c r="W88" s="2">
        <v>1.5437099999999999</v>
      </c>
      <c r="X88" s="2">
        <v>19.7882315789474</v>
      </c>
      <c r="Y88" s="2">
        <v>17.883299999999998</v>
      </c>
      <c r="Z88" s="2">
        <v>19.989000000000001</v>
      </c>
      <c r="AA88" s="2">
        <v>65.773415789473688</v>
      </c>
      <c r="AB88" s="2">
        <v>77.117900000000006</v>
      </c>
      <c r="AC88" s="2">
        <v>65.338099999999997</v>
      </c>
      <c r="AD88" s="2" t="s">
        <v>106</v>
      </c>
      <c r="AE88" s="2" t="s">
        <v>106</v>
      </c>
      <c r="AF88" s="2" t="s">
        <v>106</v>
      </c>
      <c r="AG88" s="2">
        <v>0.2</v>
      </c>
      <c r="AH88" s="2">
        <v>111.7</v>
      </c>
      <c r="AI88" s="2">
        <v>2.70882E-2</v>
      </c>
      <c r="AJ88" s="2">
        <f t="shared" ref="AJ88:AJ115" si="4">(AI88/AH88)*1000000</f>
        <v>242.5085049239033</v>
      </c>
      <c r="AK88" s="2">
        <v>1.4</v>
      </c>
      <c r="AL88" s="2" t="s">
        <v>116</v>
      </c>
      <c r="AM88" s="2" t="s">
        <v>144</v>
      </c>
      <c r="AN88" s="2" t="s">
        <v>181</v>
      </c>
      <c r="AO88" s="2" t="s">
        <v>212</v>
      </c>
    </row>
    <row r="89" spans="1:41" x14ac:dyDescent="0.35">
      <c r="A89" s="2" t="s">
        <v>181</v>
      </c>
      <c r="B89" s="2" t="s">
        <v>89</v>
      </c>
      <c r="C89" s="2">
        <v>-62.4</v>
      </c>
      <c r="D89" s="2">
        <v>35.700000000000003</v>
      </c>
      <c r="E89" s="2">
        <v>102.05122971731802</v>
      </c>
      <c r="F89" s="2">
        <v>100.49354300908757</v>
      </c>
      <c r="G89" s="2">
        <v>60.834865801781007</v>
      </c>
      <c r="H89" s="2">
        <v>53.728371756238559</v>
      </c>
      <c r="I89" s="2">
        <v>54.788516326978005</v>
      </c>
      <c r="J89" s="2">
        <v>53.055636699353954</v>
      </c>
      <c r="K89" s="2">
        <v>30</v>
      </c>
      <c r="L89" s="2" t="s">
        <v>144</v>
      </c>
      <c r="M89" s="2" t="s">
        <v>132</v>
      </c>
      <c r="N89" s="2" t="s">
        <v>31</v>
      </c>
      <c r="O89" s="2" t="s">
        <v>208</v>
      </c>
      <c r="P89" s="2">
        <v>2</v>
      </c>
      <c r="Q89" s="2" t="s">
        <v>124</v>
      </c>
      <c r="R89" s="2">
        <v>74.242750000000029</v>
      </c>
      <c r="S89" s="2">
        <v>1.1702083333333333</v>
      </c>
      <c r="T89" s="2">
        <v>18.830500000000001</v>
      </c>
      <c r="U89" s="2">
        <v>1.3788661111111109</v>
      </c>
      <c r="V89" s="2">
        <v>1.1530800000000001</v>
      </c>
      <c r="W89" s="2">
        <v>1.3874599999999999</v>
      </c>
      <c r="X89" s="2">
        <v>21.426744444444399</v>
      </c>
      <c r="Y89" s="2">
        <v>19.683800000000002</v>
      </c>
      <c r="Z89" s="2">
        <v>20.4773</v>
      </c>
      <c r="AA89" s="2">
        <v>67.342111111111109</v>
      </c>
      <c r="AB89" s="2">
        <v>74.249300000000005</v>
      </c>
      <c r="AC89" s="2">
        <v>67.2607</v>
      </c>
      <c r="AD89" s="2" t="s">
        <v>106</v>
      </c>
      <c r="AE89" s="2" t="s">
        <v>106</v>
      </c>
      <c r="AF89" s="2" t="s">
        <v>106</v>
      </c>
      <c r="AG89" s="2">
        <v>0.16</v>
      </c>
      <c r="AH89" s="2">
        <v>137.69999999999999</v>
      </c>
      <c r="AI89" s="2">
        <v>2.7815800000000002E-2</v>
      </c>
      <c r="AJ89" s="2">
        <f t="shared" si="4"/>
        <v>202.00290486565001</v>
      </c>
      <c r="AK89" s="2">
        <v>1.7</v>
      </c>
      <c r="AL89" s="2" t="s">
        <v>116</v>
      </c>
      <c r="AM89" s="2" t="s">
        <v>144</v>
      </c>
      <c r="AN89" s="2" t="s">
        <v>181</v>
      </c>
      <c r="AO89" s="2" t="s">
        <v>212</v>
      </c>
    </row>
    <row r="90" spans="1:41" x14ac:dyDescent="0.35">
      <c r="A90" s="2" t="s">
        <v>182</v>
      </c>
      <c r="B90" s="2" t="s">
        <v>90</v>
      </c>
      <c r="C90" s="2">
        <v>-65.2</v>
      </c>
      <c r="D90" s="2">
        <v>36.1</v>
      </c>
      <c r="E90" s="2">
        <v>126.1352169525732</v>
      </c>
      <c r="F90" s="2">
        <v>108.99227064336547</v>
      </c>
      <c r="G90" s="2">
        <v>49.210881469075986</v>
      </c>
      <c r="H90" s="2">
        <v>39.619033193457135</v>
      </c>
      <c r="I90" s="2">
        <v>42.545949625595611</v>
      </c>
      <c r="J90" s="2">
        <v>31.586062218076716</v>
      </c>
      <c r="K90" s="2">
        <v>25</v>
      </c>
      <c r="L90" s="2" t="s">
        <v>131</v>
      </c>
      <c r="M90" s="2" t="s">
        <v>131</v>
      </c>
      <c r="N90" s="2" t="s">
        <v>31</v>
      </c>
      <c r="O90" s="2" t="s">
        <v>208</v>
      </c>
      <c r="P90" s="2">
        <v>3</v>
      </c>
      <c r="Q90" s="2" t="s">
        <v>124</v>
      </c>
      <c r="R90" s="2">
        <v>78.07591304347828</v>
      </c>
      <c r="S90" s="2">
        <v>1.0868695652173914</v>
      </c>
      <c r="T90" s="2">
        <v>11.7360434782609</v>
      </c>
      <c r="U90" s="2">
        <v>1.8315873684210529</v>
      </c>
      <c r="V90" s="2">
        <v>1.14584</v>
      </c>
      <c r="W90" s="2">
        <v>1.8310900000000001</v>
      </c>
      <c r="X90" s="2">
        <v>9.1360105263157898</v>
      </c>
      <c r="Y90" s="2">
        <v>9.0332000000000008</v>
      </c>
      <c r="Z90" s="2">
        <v>9.0637000000000008</v>
      </c>
      <c r="AA90" s="2">
        <v>50.246394736842106</v>
      </c>
      <c r="AB90" s="2">
        <v>76.293899999999994</v>
      </c>
      <c r="AC90" s="2">
        <v>51.055900000000001</v>
      </c>
      <c r="AD90" s="2" t="s">
        <v>106</v>
      </c>
      <c r="AE90" s="2" t="s">
        <v>106</v>
      </c>
      <c r="AF90" s="2" t="s">
        <v>106</v>
      </c>
      <c r="AG90" s="2">
        <v>0.45</v>
      </c>
      <c r="AH90" s="2">
        <v>57</v>
      </c>
      <c r="AI90" s="2">
        <v>1.41239E-2</v>
      </c>
      <c r="AJ90" s="2">
        <f t="shared" si="4"/>
        <v>247.78771929824561</v>
      </c>
      <c r="AK90" s="2">
        <v>2</v>
      </c>
      <c r="AL90" s="2" t="s">
        <v>116</v>
      </c>
      <c r="AM90" s="2" t="s">
        <v>144</v>
      </c>
      <c r="AN90" s="2" t="s">
        <v>182</v>
      </c>
      <c r="AO90" s="2" t="s">
        <v>211</v>
      </c>
    </row>
    <row r="91" spans="1:41" x14ac:dyDescent="0.35">
      <c r="A91" s="2" t="s">
        <v>182</v>
      </c>
      <c r="B91" s="2" t="s">
        <v>90</v>
      </c>
      <c r="C91" s="2">
        <v>-66.400000000000006</v>
      </c>
      <c r="D91" s="2">
        <v>36.5</v>
      </c>
      <c r="E91" s="2">
        <v>127.30744748567761</v>
      </c>
      <c r="F91" s="2">
        <v>92.13367517417241</v>
      </c>
      <c r="G91" s="2">
        <v>46.697856908396275</v>
      </c>
      <c r="H91" s="2">
        <v>33.326835557068634</v>
      </c>
      <c r="I91" s="2">
        <v>43.333188889370369</v>
      </c>
      <c r="J91" s="2">
        <v>30.741007202823859</v>
      </c>
      <c r="K91" s="2">
        <v>21</v>
      </c>
      <c r="L91" s="2" t="s">
        <v>144</v>
      </c>
      <c r="M91" s="2" t="s">
        <v>132</v>
      </c>
      <c r="N91" s="2" t="s">
        <v>31</v>
      </c>
      <c r="O91" s="2" t="s">
        <v>208</v>
      </c>
      <c r="P91" s="2">
        <v>3</v>
      </c>
      <c r="Q91" s="2" t="s">
        <v>124</v>
      </c>
      <c r="R91" s="2">
        <v>74.867652173913044</v>
      </c>
      <c r="S91" s="2">
        <v>1.1071739130434781</v>
      </c>
      <c r="T91" s="2">
        <v>11.9535217391304</v>
      </c>
      <c r="U91" s="2">
        <v>1.6449477777777777</v>
      </c>
      <c r="V91" s="2">
        <v>1.10693</v>
      </c>
      <c r="W91" s="2">
        <v>1.6874499999999999</v>
      </c>
      <c r="X91" s="2">
        <v>9.7368111111111109</v>
      </c>
      <c r="Y91" s="2">
        <v>9.4603999999999999</v>
      </c>
      <c r="Z91" s="2">
        <v>9.3689</v>
      </c>
      <c r="AA91" s="2">
        <v>53.773666666666671</v>
      </c>
      <c r="AB91" s="2">
        <v>74.646000000000001</v>
      </c>
      <c r="AC91" s="2">
        <v>53.832999999999998</v>
      </c>
      <c r="AD91" s="2" t="s">
        <v>106</v>
      </c>
      <c r="AE91" s="2" t="s">
        <v>106</v>
      </c>
      <c r="AF91" s="2" t="s">
        <v>106</v>
      </c>
      <c r="AG91" s="2">
        <v>0.45</v>
      </c>
      <c r="AH91" s="2">
        <v>65</v>
      </c>
      <c r="AI91" s="2">
        <v>1.5017600000000001E-2</v>
      </c>
      <c r="AJ91" s="2">
        <f t="shared" si="4"/>
        <v>231.04000000000002</v>
      </c>
      <c r="AK91" s="2">
        <v>2.2999999999999998</v>
      </c>
      <c r="AL91" s="2" t="s">
        <v>116</v>
      </c>
      <c r="AM91" s="2" t="s">
        <v>144</v>
      </c>
      <c r="AN91" s="2" t="s">
        <v>182</v>
      </c>
      <c r="AO91" s="2" t="s">
        <v>211</v>
      </c>
    </row>
    <row r="92" spans="1:41" x14ac:dyDescent="0.35">
      <c r="A92" s="2" t="s">
        <v>182</v>
      </c>
      <c r="B92" s="2" t="s">
        <v>91</v>
      </c>
      <c r="C92" s="2">
        <v>-65.7</v>
      </c>
      <c r="D92" s="2">
        <v>36.9</v>
      </c>
      <c r="E92" s="2">
        <v>103.45541071798058</v>
      </c>
      <c r="F92" s="2">
        <v>235.76944895884398</v>
      </c>
      <c r="G92" s="2">
        <v>64.483783630286567</v>
      </c>
      <c r="H92" s="2">
        <v>85.810128317620794</v>
      </c>
      <c r="I92" s="2">
        <v>35.273368606701915</v>
      </c>
      <c r="J92" s="2">
        <v>63.195385284320693</v>
      </c>
      <c r="K92" s="2">
        <v>20</v>
      </c>
      <c r="L92" s="2" t="s">
        <v>131</v>
      </c>
      <c r="M92" s="2" t="s">
        <v>131</v>
      </c>
      <c r="N92" s="2" t="s">
        <v>31</v>
      </c>
      <c r="O92" s="2" t="s">
        <v>208</v>
      </c>
      <c r="P92" s="2">
        <v>3</v>
      </c>
      <c r="Q92" s="2" t="s">
        <v>124</v>
      </c>
      <c r="R92" s="2">
        <v>74.911045454545459</v>
      </c>
      <c r="S92" s="2">
        <v>1.4251363636363636</v>
      </c>
      <c r="T92" s="2">
        <v>10.978</v>
      </c>
      <c r="U92" s="2">
        <v>2.3537253333333328</v>
      </c>
      <c r="V92" s="2">
        <v>1.54881</v>
      </c>
      <c r="W92" s="2">
        <v>2.3746999999999998</v>
      </c>
      <c r="X92" s="2">
        <v>14.880380000000001</v>
      </c>
      <c r="Y92" s="2">
        <v>9.1248000000000005</v>
      </c>
      <c r="Z92" s="2">
        <v>14.373799999999999</v>
      </c>
      <c r="AA92" s="2">
        <v>59.472659999999998</v>
      </c>
      <c r="AB92" s="2">
        <v>75.317400000000006</v>
      </c>
      <c r="AC92" s="2">
        <v>61.218299999999999</v>
      </c>
      <c r="AD92" s="2" t="s">
        <v>106</v>
      </c>
      <c r="AE92" s="2" t="s">
        <v>106</v>
      </c>
      <c r="AF92" s="2" t="s">
        <v>106</v>
      </c>
      <c r="AG92" s="2">
        <v>0.1</v>
      </c>
      <c r="AH92" s="2">
        <v>189</v>
      </c>
      <c r="AI92" s="2">
        <v>2.8143700000000001E-2</v>
      </c>
      <c r="AJ92" s="2">
        <f t="shared" si="4"/>
        <v>148.9084656084656</v>
      </c>
      <c r="AK92" s="2">
        <v>0.7</v>
      </c>
      <c r="AL92" s="2" t="s">
        <v>116</v>
      </c>
      <c r="AM92" s="2" t="s">
        <v>144</v>
      </c>
      <c r="AN92" s="2" t="s">
        <v>182</v>
      </c>
      <c r="AO92" s="2" t="s">
        <v>211</v>
      </c>
    </row>
    <row r="93" spans="1:41" x14ac:dyDescent="0.35">
      <c r="A93" s="2" t="s">
        <v>182</v>
      </c>
      <c r="B93" s="2" t="s">
        <v>91</v>
      </c>
      <c r="C93" s="2">
        <v>-65.599999999999994</v>
      </c>
      <c r="D93" s="2">
        <v>37.299999999999997</v>
      </c>
      <c r="E93" s="2">
        <v>97.115664756725295</v>
      </c>
      <c r="F93" s="2">
        <v>195.45860543574975</v>
      </c>
      <c r="G93" s="2">
        <v>59.914499877851597</v>
      </c>
      <c r="H93" s="2">
        <v>76.222253820471508</v>
      </c>
      <c r="I93" s="2">
        <v>35.511363636363676</v>
      </c>
      <c r="J93" s="2">
        <v>61.33764160165466</v>
      </c>
      <c r="K93" s="2">
        <v>20</v>
      </c>
      <c r="L93" s="2" t="s">
        <v>144</v>
      </c>
      <c r="M93" s="2" t="s">
        <v>132</v>
      </c>
      <c r="N93" s="2" t="s">
        <v>31</v>
      </c>
      <c r="O93" s="2" t="s">
        <v>208</v>
      </c>
      <c r="P93" s="2">
        <v>3</v>
      </c>
      <c r="Q93" s="2" t="s">
        <v>124</v>
      </c>
      <c r="R93" s="2">
        <v>76.968090909090932</v>
      </c>
      <c r="S93" s="2">
        <v>1.3990909090909087</v>
      </c>
      <c r="T93" s="2">
        <v>13.5081818181818</v>
      </c>
      <c r="U93" s="2">
        <v>2.2841043749999996</v>
      </c>
      <c r="V93" s="2">
        <v>1.47472</v>
      </c>
      <c r="W93" s="2">
        <v>2.69686</v>
      </c>
      <c r="X93" s="2">
        <v>14.0109444444444</v>
      </c>
      <c r="Y93" s="2">
        <v>10.681100000000001</v>
      </c>
      <c r="Z93" s="2">
        <v>14.465299999999999</v>
      </c>
      <c r="AA93" s="2">
        <v>52.956472222222231</v>
      </c>
      <c r="AB93" s="2">
        <v>76.110799999999998</v>
      </c>
      <c r="AC93" s="2">
        <v>53.009</v>
      </c>
      <c r="AD93" s="2" t="s">
        <v>106</v>
      </c>
      <c r="AE93" s="2" t="s">
        <v>106</v>
      </c>
      <c r="AF93" s="2" t="s">
        <v>106</v>
      </c>
      <c r="AG93" s="2">
        <v>0.9</v>
      </c>
      <c r="AH93" s="2">
        <v>220</v>
      </c>
      <c r="AI93" s="2">
        <v>3.2053400000000003E-2</v>
      </c>
      <c r="AJ93" s="2">
        <f t="shared" si="4"/>
        <v>145.69727272727272</v>
      </c>
      <c r="AK93" s="2">
        <v>0.7</v>
      </c>
      <c r="AL93" s="2" t="s">
        <v>116</v>
      </c>
      <c r="AM93" s="2" t="s">
        <v>144</v>
      </c>
      <c r="AN93" s="2" t="s">
        <v>182</v>
      </c>
      <c r="AO93" s="2" t="s">
        <v>211</v>
      </c>
    </row>
    <row r="94" spans="1:41" x14ac:dyDescent="0.35">
      <c r="A94" s="2" t="s">
        <v>183</v>
      </c>
      <c r="B94" s="2" t="s">
        <v>92</v>
      </c>
      <c r="C94" s="2">
        <v>-61</v>
      </c>
      <c r="D94" s="2">
        <v>37.700000000000003</v>
      </c>
      <c r="E94" s="2">
        <v>111.38338159946525</v>
      </c>
      <c r="F94" s="2">
        <v>96.827023474473251</v>
      </c>
      <c r="G94" s="2">
        <v>45.228974773694219</v>
      </c>
      <c r="H94" s="2">
        <v>34.89522734954668</v>
      </c>
      <c r="I94" s="2">
        <v>111.38338159946525</v>
      </c>
      <c r="J94" s="2">
        <v>29.319718323938808</v>
      </c>
      <c r="K94" s="2">
        <v>22</v>
      </c>
      <c r="L94" s="2" t="s">
        <v>131</v>
      </c>
      <c r="M94" s="2" t="s">
        <v>131</v>
      </c>
      <c r="N94" s="2" t="s">
        <v>31</v>
      </c>
      <c r="O94" s="2" t="s">
        <v>208</v>
      </c>
      <c r="P94" s="2">
        <v>7</v>
      </c>
      <c r="Q94" s="2" t="s">
        <v>124</v>
      </c>
      <c r="R94" s="2">
        <v>69.609909090909071</v>
      </c>
      <c r="S94" s="2">
        <v>1.2269090909090909</v>
      </c>
      <c r="T94" s="2">
        <v>9.9583636363636394</v>
      </c>
      <c r="U94" s="2">
        <v>1.3851059999999999</v>
      </c>
      <c r="V94" s="2">
        <v>1.22942</v>
      </c>
      <c r="W94" s="2">
        <v>1.3817299999999999</v>
      </c>
      <c r="X94" s="2">
        <v>11.5468333333333</v>
      </c>
      <c r="Y94" s="2">
        <v>9.1248000000000005</v>
      </c>
      <c r="Z94" s="2">
        <v>11.901899999999999</v>
      </c>
      <c r="AA94" s="2">
        <v>59.47468666666667</v>
      </c>
      <c r="AB94" s="2">
        <v>68.954499999999996</v>
      </c>
      <c r="AC94" s="2">
        <v>58.532699999999998</v>
      </c>
      <c r="AD94" s="2" t="s">
        <v>106</v>
      </c>
      <c r="AE94" s="2" t="s">
        <v>106</v>
      </c>
      <c r="AF94" s="2" t="s">
        <v>106</v>
      </c>
      <c r="AG94" s="2">
        <v>0.26</v>
      </c>
      <c r="AH94" s="2">
        <v>39</v>
      </c>
      <c r="AI94" s="2">
        <v>1.1389099999999999E-2</v>
      </c>
      <c r="AJ94" s="2">
        <f t="shared" si="4"/>
        <v>292.02820512820512</v>
      </c>
      <c r="AK94" s="2" t="s">
        <v>106</v>
      </c>
      <c r="AL94" s="2" t="s">
        <v>116</v>
      </c>
      <c r="AM94" s="2" t="s">
        <v>144</v>
      </c>
      <c r="AN94" s="2" t="s">
        <v>183</v>
      </c>
      <c r="AO94" s="2" t="s">
        <v>212</v>
      </c>
    </row>
    <row r="95" spans="1:41" x14ac:dyDescent="0.35">
      <c r="A95" s="2" t="s">
        <v>183</v>
      </c>
      <c r="B95" s="2" t="s">
        <v>92</v>
      </c>
      <c r="C95" s="2">
        <v>-60.6</v>
      </c>
      <c r="D95" s="2">
        <v>38.1</v>
      </c>
      <c r="E95" s="2">
        <v>109.51702989814916</v>
      </c>
      <c r="F95" s="2">
        <v>77.623367763062134</v>
      </c>
      <c r="G95" s="2">
        <v>44.300765492053841</v>
      </c>
      <c r="H95" s="2">
        <v>27.979034107476949</v>
      </c>
      <c r="I95" s="2">
        <v>109.51702989814916</v>
      </c>
      <c r="J95" s="2">
        <v>22.754194625291284</v>
      </c>
      <c r="K95" s="2">
        <v>22</v>
      </c>
      <c r="L95" s="2" t="s">
        <v>144</v>
      </c>
      <c r="M95" s="2" t="s">
        <v>132</v>
      </c>
      <c r="N95" s="2" t="s">
        <v>31</v>
      </c>
      <c r="O95" s="2" t="s">
        <v>208</v>
      </c>
      <c r="P95" s="2">
        <v>7</v>
      </c>
      <c r="Q95" s="2" t="s">
        <v>124</v>
      </c>
      <c r="R95" s="2">
        <v>63.893409090909088</v>
      </c>
      <c r="S95" s="2">
        <v>1.4863181818181823</v>
      </c>
      <c r="T95" s="2">
        <v>8.3720909090909092</v>
      </c>
      <c r="U95" s="2">
        <v>1.3358415384615385</v>
      </c>
      <c r="V95" s="2">
        <v>1.15232</v>
      </c>
      <c r="W95" s="2">
        <v>1.32626</v>
      </c>
      <c r="X95" s="2">
        <v>13.396038461538501</v>
      </c>
      <c r="Y95" s="2">
        <v>10.0098</v>
      </c>
      <c r="Z95" s="2">
        <v>13.9924</v>
      </c>
      <c r="AA95" s="2">
        <v>49.717838461538463</v>
      </c>
      <c r="AB95" s="2">
        <v>60.409500000000001</v>
      </c>
      <c r="AC95" s="2">
        <v>48.660299999999999</v>
      </c>
      <c r="AD95" s="2" t="s">
        <v>106</v>
      </c>
      <c r="AE95" s="2" t="s">
        <v>106</v>
      </c>
      <c r="AF95" s="2" t="s">
        <v>106</v>
      </c>
      <c r="AG95" s="2">
        <v>0.2</v>
      </c>
      <c r="AH95" s="2">
        <v>55</v>
      </c>
      <c r="AI95" s="2">
        <v>7.4649399999999998E-3</v>
      </c>
      <c r="AJ95" s="2">
        <f t="shared" si="4"/>
        <v>135.72618181818183</v>
      </c>
      <c r="AK95" s="2" t="s">
        <v>106</v>
      </c>
      <c r="AL95" s="2" t="s">
        <v>116</v>
      </c>
      <c r="AM95" s="2" t="s">
        <v>144</v>
      </c>
      <c r="AN95" s="2" t="s">
        <v>183</v>
      </c>
      <c r="AO95" s="2" t="s">
        <v>212</v>
      </c>
    </row>
    <row r="96" spans="1:41" x14ac:dyDescent="0.35">
      <c r="A96" s="2" t="s">
        <v>183</v>
      </c>
      <c r="B96" s="2" t="s">
        <v>93</v>
      </c>
      <c r="C96" s="2">
        <v>-62.5</v>
      </c>
      <c r="D96" s="2">
        <v>38.5</v>
      </c>
      <c r="E96" s="2">
        <v>120.27904738994478</v>
      </c>
      <c r="F96" s="2">
        <v>91.547499812132315</v>
      </c>
      <c r="G96" s="2">
        <v>43.853133178352763</v>
      </c>
      <c r="H96" s="2">
        <v>28.610619922063794</v>
      </c>
      <c r="I96" s="2">
        <v>120.27904738994478</v>
      </c>
      <c r="J96" s="2">
        <v>24.54949051473826</v>
      </c>
      <c r="K96" s="2">
        <v>21</v>
      </c>
      <c r="L96" s="2" t="s">
        <v>131</v>
      </c>
      <c r="M96" s="2" t="s">
        <v>131</v>
      </c>
      <c r="N96" s="2" t="s">
        <v>31</v>
      </c>
      <c r="O96" s="2" t="s">
        <v>208</v>
      </c>
      <c r="P96" s="2">
        <v>7</v>
      </c>
      <c r="Q96" s="2" t="s">
        <v>124</v>
      </c>
      <c r="R96" s="2">
        <v>65.302772727272725</v>
      </c>
      <c r="S96" s="2">
        <v>0.89754545454545465</v>
      </c>
      <c r="T96" s="2">
        <v>11.6749090909091</v>
      </c>
      <c r="U96" s="2">
        <v>1.154890588235294</v>
      </c>
      <c r="V96" s="2">
        <v>0.91519899999999998</v>
      </c>
      <c r="W96" s="2">
        <v>1.1725399999999999</v>
      </c>
      <c r="X96" s="2">
        <v>13.8774294117647</v>
      </c>
      <c r="Y96" s="2">
        <v>10.0403</v>
      </c>
      <c r="Z96" s="2">
        <v>13.656599999999999</v>
      </c>
      <c r="AA96" s="2">
        <v>49.190741176470574</v>
      </c>
      <c r="AB96" s="2">
        <v>63.9191</v>
      </c>
      <c r="AC96" s="2">
        <v>48.599200000000003</v>
      </c>
      <c r="AD96" s="2" t="s">
        <v>106</v>
      </c>
      <c r="AE96" s="2" t="s">
        <v>106</v>
      </c>
      <c r="AF96" s="2" t="s">
        <v>106</v>
      </c>
      <c r="AG96" s="2">
        <v>0.65</v>
      </c>
      <c r="AH96" s="2">
        <v>25</v>
      </c>
      <c r="AI96" s="2">
        <v>8.8864500000000006E-3</v>
      </c>
      <c r="AJ96" s="2">
        <f t="shared" si="4"/>
        <v>355.45800000000003</v>
      </c>
      <c r="AK96" s="2" t="s">
        <v>106</v>
      </c>
      <c r="AL96" s="2" t="s">
        <v>116</v>
      </c>
      <c r="AM96" s="2" t="s">
        <v>144</v>
      </c>
      <c r="AN96" s="2" t="s">
        <v>183</v>
      </c>
      <c r="AO96" s="2" t="s">
        <v>212</v>
      </c>
    </row>
    <row r="97" spans="1:41" x14ac:dyDescent="0.35">
      <c r="A97" s="2" t="s">
        <v>183</v>
      </c>
      <c r="B97" s="2" t="s">
        <v>93</v>
      </c>
      <c r="C97" s="2">
        <v>-59.5</v>
      </c>
      <c r="D97" s="2">
        <v>38.9</v>
      </c>
      <c r="E97" s="2">
        <v>86.587583340548917</v>
      </c>
      <c r="F97" s="2">
        <v>68.654896234389497</v>
      </c>
      <c r="G97" s="2">
        <v>41.931057105732613</v>
      </c>
      <c r="H97" s="2">
        <v>25.562025285844946</v>
      </c>
      <c r="I97" s="2">
        <v>86.587583340548917</v>
      </c>
      <c r="J97" s="2">
        <v>23.774138795456999</v>
      </c>
      <c r="K97" s="2">
        <v>21</v>
      </c>
      <c r="L97" s="2" t="s">
        <v>144</v>
      </c>
      <c r="M97" s="2" t="s">
        <v>132</v>
      </c>
      <c r="N97" s="2" t="s">
        <v>31</v>
      </c>
      <c r="O97" s="2" t="s">
        <v>208</v>
      </c>
      <c r="P97" s="2">
        <v>7</v>
      </c>
      <c r="Q97" s="2" t="s">
        <v>124</v>
      </c>
      <c r="R97" s="2">
        <v>63.897039999999997</v>
      </c>
      <c r="S97" s="2">
        <v>1.1182799999999999</v>
      </c>
      <c r="T97" s="2">
        <v>11.11764</v>
      </c>
      <c r="U97" s="2">
        <v>1.2999166666666666</v>
      </c>
      <c r="V97" s="2">
        <v>1.2110000000000001</v>
      </c>
      <c r="W97" s="2">
        <v>1.302</v>
      </c>
      <c r="X97" s="2">
        <v>13.8028333333333</v>
      </c>
      <c r="Y97" s="2">
        <v>10.345000000000001</v>
      </c>
      <c r="Z97" s="2">
        <v>13.808999999999999</v>
      </c>
      <c r="AA97" s="2">
        <v>50.582916666666655</v>
      </c>
      <c r="AB97" s="2">
        <v>60.225999999999999</v>
      </c>
      <c r="AC97" s="2">
        <v>50.780999999999999</v>
      </c>
      <c r="AD97" s="2" t="s">
        <v>106</v>
      </c>
      <c r="AE97" s="2" t="s">
        <v>106</v>
      </c>
      <c r="AF97" s="2" t="s">
        <v>106</v>
      </c>
      <c r="AG97" s="2">
        <v>0.4</v>
      </c>
      <c r="AH97" s="2">
        <v>28</v>
      </c>
      <c r="AI97" s="2">
        <v>8.1208099999999991E-3</v>
      </c>
      <c r="AJ97" s="2">
        <f t="shared" si="4"/>
        <v>290.02892857142854</v>
      </c>
      <c r="AK97" s="2" t="s">
        <v>106</v>
      </c>
      <c r="AL97" s="2" t="s">
        <v>116</v>
      </c>
      <c r="AM97" s="2" t="s">
        <v>144</v>
      </c>
      <c r="AN97" s="2" t="s">
        <v>183</v>
      </c>
      <c r="AO97" s="2" t="s">
        <v>212</v>
      </c>
    </row>
    <row r="98" spans="1:41" x14ac:dyDescent="0.35">
      <c r="A98" s="2" t="s">
        <v>184</v>
      </c>
      <c r="B98" s="2" t="s">
        <v>94</v>
      </c>
      <c r="C98" s="2">
        <v>-61.2</v>
      </c>
      <c r="D98" s="2">
        <v>39.299999999999997</v>
      </c>
      <c r="E98" s="2">
        <v>138.38915029061724</v>
      </c>
      <c r="F98" s="2">
        <v>119.90507671266279</v>
      </c>
      <c r="G98" s="2">
        <v>49.495281398603574</v>
      </c>
      <c r="H98" s="2">
        <v>35.2579672761008</v>
      </c>
      <c r="I98" s="2">
        <v>47.476617765750397</v>
      </c>
      <c r="J98" s="2">
        <v>33.293744244078233</v>
      </c>
      <c r="K98" s="2">
        <v>23</v>
      </c>
      <c r="L98" s="2" t="s">
        <v>131</v>
      </c>
      <c r="M98" s="2" t="s">
        <v>131</v>
      </c>
      <c r="N98" s="2" t="s">
        <v>31</v>
      </c>
      <c r="O98" s="2" t="s">
        <v>208</v>
      </c>
      <c r="P98" s="2">
        <v>6</v>
      </c>
      <c r="Q98" s="2" t="s">
        <v>124</v>
      </c>
      <c r="R98" s="2">
        <v>71.990033333333329</v>
      </c>
      <c r="S98" s="2">
        <v>0.75526666666666664</v>
      </c>
      <c r="T98" s="2">
        <f>AVERAGE(T17:T95)</f>
        <v>14.087372221812808</v>
      </c>
      <c r="U98" s="2">
        <v>1.0176020000000001</v>
      </c>
      <c r="V98" s="2">
        <v>0.80956799999999995</v>
      </c>
      <c r="W98" s="2">
        <v>1.0145500000000001</v>
      </c>
      <c r="X98" s="2">
        <v>12.8445111111111</v>
      </c>
      <c r="Y98" s="2">
        <v>10.1929</v>
      </c>
      <c r="Z98" s="2">
        <v>12.237500000000001</v>
      </c>
      <c r="AA98" s="2">
        <v>51.02878888888889</v>
      </c>
      <c r="AB98" s="2">
        <v>70.4041</v>
      </c>
      <c r="AC98" s="2">
        <v>52.581800000000001</v>
      </c>
      <c r="AD98" s="2" t="s">
        <v>106</v>
      </c>
      <c r="AE98" s="2" t="s">
        <v>106</v>
      </c>
      <c r="AF98" s="2" t="s">
        <v>106</v>
      </c>
      <c r="AG98" s="2">
        <v>0.6</v>
      </c>
      <c r="AH98" s="2">
        <v>20</v>
      </c>
      <c r="AI98" s="2">
        <v>1.08413E-2</v>
      </c>
      <c r="AJ98" s="2">
        <f t="shared" si="4"/>
        <v>542.06499999999994</v>
      </c>
      <c r="AK98" s="2">
        <v>2.7</v>
      </c>
      <c r="AL98" s="2" t="s">
        <v>116</v>
      </c>
      <c r="AM98" s="2" t="s">
        <v>144</v>
      </c>
      <c r="AN98" s="2" t="s">
        <v>184</v>
      </c>
      <c r="AO98" s="2" t="s">
        <v>212</v>
      </c>
    </row>
    <row r="99" spans="1:41" x14ac:dyDescent="0.35">
      <c r="A99" s="2" t="s">
        <v>184</v>
      </c>
      <c r="B99" s="2" t="s">
        <v>94</v>
      </c>
      <c r="C99" s="2">
        <v>-58.2</v>
      </c>
      <c r="D99" s="2">
        <v>39.700000000000003</v>
      </c>
      <c r="E99" s="2">
        <v>124.33171702101239</v>
      </c>
      <c r="F99" s="2">
        <v>160.92509010085706</v>
      </c>
      <c r="G99" s="2">
        <v>45.906665040700709</v>
      </c>
      <c r="H99" s="2">
        <v>45.444920887092458</v>
      </c>
      <c r="I99" s="2">
        <v>42.176296921130465</v>
      </c>
      <c r="J99" s="2">
        <v>40.266474230972079</v>
      </c>
      <c r="K99" s="2">
        <v>22</v>
      </c>
      <c r="L99" s="2" t="s">
        <v>144</v>
      </c>
      <c r="M99" s="2" t="s">
        <v>132</v>
      </c>
      <c r="N99" s="2" t="s">
        <v>31</v>
      </c>
      <c r="O99" s="2" t="s">
        <v>208</v>
      </c>
      <c r="P99" s="2">
        <v>6</v>
      </c>
      <c r="Q99" s="2" t="s">
        <v>124</v>
      </c>
      <c r="R99" s="2">
        <v>65.706400000000002</v>
      </c>
      <c r="S99" s="2">
        <v>0.75573333333333348</v>
      </c>
      <c r="T99" s="2">
        <v>11.9547666666667</v>
      </c>
      <c r="U99" s="2">
        <v>0.90414285714285725</v>
      </c>
      <c r="V99" s="2">
        <v>0.75800000000000001</v>
      </c>
      <c r="W99" s="2">
        <v>0.84499999999999997</v>
      </c>
      <c r="X99" s="2">
        <v>14.2102857142857</v>
      </c>
      <c r="Y99" s="2">
        <v>13.763</v>
      </c>
      <c r="Z99" s="2">
        <v>15.35</v>
      </c>
      <c r="AA99" s="2">
        <v>56.518428571428565</v>
      </c>
      <c r="AB99" s="2">
        <v>65.521000000000001</v>
      </c>
      <c r="AC99" s="2">
        <v>60.576999999999998</v>
      </c>
      <c r="AD99" s="2" t="s">
        <v>106</v>
      </c>
      <c r="AE99" s="2" t="s">
        <v>106</v>
      </c>
      <c r="AF99" s="2" t="s">
        <v>106</v>
      </c>
      <c r="AG99" s="2">
        <v>0.5</v>
      </c>
      <c r="AH99" s="2">
        <v>27</v>
      </c>
      <c r="AI99" s="2">
        <v>1.2626399999999999E-2</v>
      </c>
      <c r="AJ99" s="2">
        <f t="shared" si="4"/>
        <v>467.64444444444445</v>
      </c>
      <c r="AK99" s="2">
        <v>2.8</v>
      </c>
      <c r="AL99" s="2" t="s">
        <v>116</v>
      </c>
      <c r="AM99" s="2" t="s">
        <v>144</v>
      </c>
      <c r="AN99" s="2" t="s">
        <v>184</v>
      </c>
      <c r="AO99" s="2" t="s">
        <v>212</v>
      </c>
    </row>
    <row r="100" spans="1:41" x14ac:dyDescent="0.35">
      <c r="A100" s="2" t="s">
        <v>185</v>
      </c>
      <c r="B100" s="2" t="s">
        <v>95</v>
      </c>
      <c r="C100" s="2">
        <v>-64.400000000000006</v>
      </c>
      <c r="D100" s="2">
        <v>40.1</v>
      </c>
      <c r="E100" s="2">
        <v>153.91719255040823</v>
      </c>
      <c r="F100" s="2">
        <v>141.88612219343779</v>
      </c>
      <c r="G100" s="2">
        <v>52.734487603353685</v>
      </c>
      <c r="H100" s="2">
        <v>42.817394147260615</v>
      </c>
      <c r="I100" s="2">
        <v>47.993856786331321</v>
      </c>
      <c r="J100" s="2">
        <v>32.037492856636497</v>
      </c>
      <c r="K100" s="2">
        <v>25</v>
      </c>
      <c r="L100" s="2" t="s">
        <v>131</v>
      </c>
      <c r="M100" s="2" t="s">
        <v>131</v>
      </c>
      <c r="N100" s="2" t="s">
        <v>31</v>
      </c>
      <c r="O100" s="2" t="s">
        <v>208</v>
      </c>
      <c r="P100" s="2">
        <v>6</v>
      </c>
      <c r="Q100" s="2" t="s">
        <v>124</v>
      </c>
      <c r="R100" s="2">
        <v>69.606566666666666</v>
      </c>
      <c r="S100" s="2">
        <v>0.86260000000000003</v>
      </c>
      <c r="T100" s="2">
        <v>7.6014666666666697</v>
      </c>
      <c r="U100" s="2">
        <v>1.5237147619047622</v>
      </c>
      <c r="V100" s="2">
        <v>0.94689400000000001</v>
      </c>
      <c r="W100" s="2">
        <v>1.4513499999999999</v>
      </c>
      <c r="X100" s="2">
        <v>8.6852952380952395</v>
      </c>
      <c r="Y100" s="2">
        <v>12.841799999999999</v>
      </c>
      <c r="Z100" s="2">
        <v>9.2224000000000004</v>
      </c>
      <c r="AA100" s="2">
        <v>54.644490476190477</v>
      </c>
      <c r="AB100" s="2">
        <v>75.793499999999995</v>
      </c>
      <c r="AC100" s="2">
        <v>55.975299999999997</v>
      </c>
      <c r="AD100" s="2" t="s">
        <v>106</v>
      </c>
      <c r="AE100" s="2" t="s">
        <v>106</v>
      </c>
      <c r="AF100" s="2" t="s">
        <v>106</v>
      </c>
      <c r="AG100" s="2">
        <v>0.65</v>
      </c>
      <c r="AH100" s="2">
        <v>76</v>
      </c>
      <c r="AI100" s="2">
        <v>1.48203E-2</v>
      </c>
      <c r="AJ100" s="2">
        <f t="shared" si="4"/>
        <v>195.00394736842105</v>
      </c>
      <c r="AK100" s="2">
        <v>2.2000000000000002</v>
      </c>
      <c r="AL100" s="2" t="s">
        <v>116</v>
      </c>
      <c r="AM100" s="2" t="s">
        <v>144</v>
      </c>
      <c r="AN100" s="2" t="s">
        <v>185</v>
      </c>
      <c r="AO100" s="2" t="s">
        <v>211</v>
      </c>
    </row>
    <row r="101" spans="1:41" x14ac:dyDescent="0.35">
      <c r="A101" s="2" t="s">
        <v>185</v>
      </c>
      <c r="B101" s="2" t="s">
        <v>95</v>
      </c>
      <c r="C101" s="2">
        <v>-64.900000000000006</v>
      </c>
      <c r="D101" s="2">
        <v>40.5</v>
      </c>
      <c r="E101" s="2">
        <v>163.02575806977464</v>
      </c>
      <c r="F101" s="2">
        <v>138.12934254911971</v>
      </c>
      <c r="G101" s="2">
        <v>59.509754508165749</v>
      </c>
      <c r="H101" s="2">
        <v>52.563070598446082</v>
      </c>
      <c r="I101" s="2">
        <v>48.118564142045912</v>
      </c>
      <c r="J101" s="2">
        <v>39.75518733395625</v>
      </c>
      <c r="K101" s="2">
        <v>24</v>
      </c>
      <c r="L101" s="2" t="s">
        <v>144</v>
      </c>
      <c r="M101" s="2" t="s">
        <v>132</v>
      </c>
      <c r="N101" s="2" t="s">
        <v>31</v>
      </c>
      <c r="O101" s="2" t="s">
        <v>208</v>
      </c>
      <c r="P101" s="2">
        <v>6</v>
      </c>
      <c r="Q101" s="2" t="s">
        <v>124</v>
      </c>
      <c r="R101" s="2">
        <v>71.957833333333326</v>
      </c>
      <c r="S101" s="2">
        <v>0.90322222222222237</v>
      </c>
      <c r="T101" s="2">
        <v>14.2111111111111</v>
      </c>
      <c r="U101" s="2">
        <v>1.2848880952380952</v>
      </c>
      <c r="V101" s="2">
        <v>0.92294299999999996</v>
      </c>
      <c r="W101" s="2">
        <v>1.24342</v>
      </c>
      <c r="X101" s="2">
        <v>9.2279380952381</v>
      </c>
      <c r="Y101" s="2">
        <v>13.2752</v>
      </c>
      <c r="Z101" s="2">
        <v>10.467599999999999</v>
      </c>
      <c r="AA101" s="2">
        <v>58.686028571428587</v>
      </c>
      <c r="AB101" s="2">
        <v>73.669399999999996</v>
      </c>
      <c r="AC101" s="2">
        <v>58.853099999999998</v>
      </c>
      <c r="AD101" s="2" t="s">
        <v>106</v>
      </c>
      <c r="AE101" s="2" t="s">
        <v>106</v>
      </c>
      <c r="AF101" s="2" t="s">
        <v>106</v>
      </c>
      <c r="AG101" s="2">
        <v>0.55000000000000004</v>
      </c>
      <c r="AH101" s="2">
        <v>85</v>
      </c>
      <c r="AI101" s="2">
        <v>1.0550500000000001E-2</v>
      </c>
      <c r="AJ101" s="2">
        <f t="shared" si="4"/>
        <v>124.12352941176472</v>
      </c>
      <c r="AK101" s="2">
        <v>2</v>
      </c>
      <c r="AL101" s="2" t="s">
        <v>116</v>
      </c>
      <c r="AM101" s="2" t="s">
        <v>144</v>
      </c>
      <c r="AN101" s="2" t="s">
        <v>185</v>
      </c>
      <c r="AO101" s="2" t="s">
        <v>211</v>
      </c>
    </row>
    <row r="102" spans="1:41" x14ac:dyDescent="0.35">
      <c r="A102" s="2" t="s">
        <v>185</v>
      </c>
      <c r="B102" s="2" t="s">
        <v>96</v>
      </c>
      <c r="C102" s="2">
        <v>-66.8</v>
      </c>
      <c r="D102" s="2">
        <v>40.9</v>
      </c>
      <c r="E102" s="2">
        <v>152.34613040828779</v>
      </c>
      <c r="F102" s="2">
        <v>139.52007444203736</v>
      </c>
      <c r="G102" s="2">
        <v>52.702900980371155</v>
      </c>
      <c r="H102" s="2">
        <v>32.220974017112269</v>
      </c>
      <c r="I102" s="2">
        <v>47.016784992242215</v>
      </c>
      <c r="J102" s="2">
        <v>25.522478737165422</v>
      </c>
      <c r="K102" s="2">
        <v>23</v>
      </c>
      <c r="L102" s="2" t="s">
        <v>131</v>
      </c>
      <c r="M102" s="2" t="s">
        <v>131</v>
      </c>
      <c r="N102" s="2" t="s">
        <v>31</v>
      </c>
      <c r="O102" s="2" t="s">
        <v>208</v>
      </c>
      <c r="P102" s="2">
        <v>6</v>
      </c>
      <c r="Q102" s="2" t="s">
        <v>124</v>
      </c>
      <c r="R102" s="2">
        <v>70.920812500000011</v>
      </c>
      <c r="S102" s="2">
        <v>0.83837500000000009</v>
      </c>
      <c r="T102" s="2" t="s">
        <v>106</v>
      </c>
      <c r="U102" s="2">
        <v>1.0602941176470591</v>
      </c>
      <c r="V102" s="2">
        <v>0.84599999999999997</v>
      </c>
      <c r="W102" s="2">
        <v>1.054</v>
      </c>
      <c r="X102" s="2">
        <v>7.7281764705882399</v>
      </c>
      <c r="Y102" s="2">
        <v>7.141</v>
      </c>
      <c r="Z102" s="2">
        <v>8.5449999999999999</v>
      </c>
      <c r="AA102" s="2">
        <v>61.661764705882355</v>
      </c>
      <c r="AB102" s="2">
        <v>70.221000000000004</v>
      </c>
      <c r="AC102" s="2">
        <v>61.737000000000002</v>
      </c>
      <c r="AD102" s="2" t="s">
        <v>106</v>
      </c>
      <c r="AE102" s="2" t="s">
        <v>106</v>
      </c>
      <c r="AF102" s="2" t="s">
        <v>106</v>
      </c>
      <c r="AG102" s="2">
        <v>1</v>
      </c>
      <c r="AH102" s="2">
        <v>27</v>
      </c>
      <c r="AI102" s="2">
        <v>6.0602199999999998E-3</v>
      </c>
      <c r="AJ102" s="2">
        <f t="shared" si="4"/>
        <v>224.45259259259257</v>
      </c>
      <c r="AK102" s="2">
        <v>2.1</v>
      </c>
      <c r="AL102" s="2" t="s">
        <v>116</v>
      </c>
      <c r="AM102" s="2" t="s">
        <v>144</v>
      </c>
      <c r="AN102" s="2" t="s">
        <v>185</v>
      </c>
      <c r="AO102" s="2" t="s">
        <v>211</v>
      </c>
    </row>
    <row r="103" spans="1:41" x14ac:dyDescent="0.35">
      <c r="A103" s="2" t="s">
        <v>185</v>
      </c>
      <c r="B103" s="2" t="s">
        <v>96</v>
      </c>
      <c r="C103" s="2">
        <v>-63.7</v>
      </c>
      <c r="D103" s="2">
        <v>41.3</v>
      </c>
      <c r="E103" s="2">
        <v>151.14873035066537</v>
      </c>
      <c r="F103" s="2">
        <v>143.50636014071623</v>
      </c>
      <c r="G103" s="2">
        <v>52.243659299152519</v>
      </c>
      <c r="H103" s="2">
        <v>33.929052965712728</v>
      </c>
      <c r="I103" s="2">
        <v>47.049967065023012</v>
      </c>
      <c r="J103" s="2">
        <v>27.329135311455058</v>
      </c>
      <c r="K103" s="2">
        <v>23</v>
      </c>
      <c r="L103" s="2" t="s">
        <v>144</v>
      </c>
      <c r="M103" s="2" t="s">
        <v>132</v>
      </c>
      <c r="N103" s="2" t="s">
        <v>31</v>
      </c>
      <c r="O103" s="2" t="s">
        <v>208</v>
      </c>
      <c r="P103" s="2">
        <v>6</v>
      </c>
      <c r="Q103" s="2" t="s">
        <v>124</v>
      </c>
      <c r="R103" s="2">
        <v>98.219944444444465</v>
      </c>
      <c r="S103" s="2">
        <v>1.1158888888888889</v>
      </c>
      <c r="T103" s="2" t="s">
        <v>106</v>
      </c>
      <c r="U103" s="2">
        <v>1.0667222222222223</v>
      </c>
      <c r="V103" s="2">
        <v>0.876</v>
      </c>
      <c r="W103" s="2">
        <v>1.0569999999999999</v>
      </c>
      <c r="X103" s="2">
        <v>7.1792222222222204</v>
      </c>
      <c r="Y103" s="2">
        <v>5.9660000000000002</v>
      </c>
      <c r="Z103" s="2">
        <v>7.431</v>
      </c>
      <c r="AA103" s="2">
        <v>62.721111111111114</v>
      </c>
      <c r="AB103" s="2">
        <v>71.105999999999995</v>
      </c>
      <c r="AC103" s="2">
        <v>62.896999999999998</v>
      </c>
      <c r="AD103" s="2" t="s">
        <v>106</v>
      </c>
      <c r="AE103" s="2" t="s">
        <v>106</v>
      </c>
      <c r="AF103" s="2" t="s">
        <v>106</v>
      </c>
      <c r="AG103" s="2">
        <v>1.1000000000000001</v>
      </c>
      <c r="AH103" s="2">
        <v>23</v>
      </c>
      <c r="AI103" s="2">
        <v>7.47732E-3</v>
      </c>
      <c r="AJ103" s="2">
        <f t="shared" si="4"/>
        <v>325.10086956521741</v>
      </c>
      <c r="AK103" s="2">
        <v>2.2999999999999998</v>
      </c>
      <c r="AL103" s="2" t="s">
        <v>116</v>
      </c>
      <c r="AM103" s="2" t="s">
        <v>144</v>
      </c>
      <c r="AN103" s="2" t="s">
        <v>185</v>
      </c>
      <c r="AO103" s="2" t="s">
        <v>211</v>
      </c>
    </row>
    <row r="104" spans="1:41" x14ac:dyDescent="0.35">
      <c r="A104" s="2" t="s">
        <v>186</v>
      </c>
      <c r="B104" s="2" t="s">
        <v>97</v>
      </c>
      <c r="C104" s="2">
        <v>-64.5</v>
      </c>
      <c r="D104" s="2">
        <v>41.7</v>
      </c>
      <c r="E104" s="2">
        <v>139.37282229965189</v>
      </c>
      <c r="F104" s="2">
        <v>90.404709535636243</v>
      </c>
      <c r="G104" s="2">
        <v>51.118808225191884</v>
      </c>
      <c r="H104" s="2">
        <v>27.266090500946994</v>
      </c>
      <c r="I104" s="2">
        <v>48.162596927226502</v>
      </c>
      <c r="J104" s="2">
        <v>23.725312300260526</v>
      </c>
      <c r="K104" s="2">
        <v>24</v>
      </c>
      <c r="L104" s="2" t="s">
        <v>131</v>
      </c>
      <c r="M104" s="2" t="s">
        <v>131</v>
      </c>
      <c r="N104" s="2" t="s">
        <v>31</v>
      </c>
      <c r="O104" s="2" t="s">
        <v>208</v>
      </c>
      <c r="P104" s="2">
        <v>7</v>
      </c>
      <c r="Q104" s="2" t="s">
        <v>124</v>
      </c>
      <c r="R104" s="2">
        <v>67.772777777777776</v>
      </c>
      <c r="S104" s="2">
        <v>0.89944444444444449</v>
      </c>
      <c r="T104" s="2">
        <v>9.4063333333333308</v>
      </c>
      <c r="U104" s="2">
        <v>1.2705555555555557</v>
      </c>
      <c r="V104" s="2">
        <v>0.92100000000000004</v>
      </c>
      <c r="W104" s="2">
        <v>1.246</v>
      </c>
      <c r="X104" s="2">
        <v>9.7928333333333306</v>
      </c>
      <c r="Y104" s="2">
        <v>6.6219999999999999</v>
      </c>
      <c r="Z104" s="2">
        <v>10.101000000000001</v>
      </c>
      <c r="AA104" s="2">
        <v>51.113555555555564</v>
      </c>
      <c r="AB104" s="2">
        <v>69.701999999999998</v>
      </c>
      <c r="AC104" s="2">
        <v>52.063000000000002</v>
      </c>
      <c r="AD104" s="2" t="s">
        <v>106</v>
      </c>
      <c r="AE104" s="2" t="s">
        <v>106</v>
      </c>
      <c r="AF104" s="2" t="s">
        <v>106</v>
      </c>
      <c r="AG104" s="2">
        <v>0.5</v>
      </c>
      <c r="AH104" s="2">
        <v>32</v>
      </c>
      <c r="AI104" s="2">
        <v>1.5284300000000001E-2</v>
      </c>
      <c r="AJ104" s="2">
        <f t="shared" si="4"/>
        <v>477.63437500000003</v>
      </c>
      <c r="AK104" s="2">
        <v>2.1</v>
      </c>
      <c r="AL104" s="2" t="s">
        <v>116</v>
      </c>
      <c r="AM104" s="2" t="s">
        <v>144</v>
      </c>
      <c r="AN104" s="2" t="s">
        <v>186</v>
      </c>
      <c r="AO104" s="2" t="s">
        <v>212</v>
      </c>
    </row>
    <row r="105" spans="1:41" x14ac:dyDescent="0.35">
      <c r="A105" s="2" t="s">
        <v>186</v>
      </c>
      <c r="B105" s="2" t="s">
        <v>97</v>
      </c>
      <c r="C105" s="2">
        <v>-62.6</v>
      </c>
      <c r="D105" s="2">
        <v>42.1</v>
      </c>
      <c r="E105" s="2">
        <v>118.89192723814051</v>
      </c>
      <c r="F105" s="2">
        <v>81.691658285762131</v>
      </c>
      <c r="G105" s="2">
        <v>45.738591235327632</v>
      </c>
      <c r="H105" s="2">
        <v>24.74658146323171</v>
      </c>
      <c r="I105" s="2">
        <v>41.317192083625848</v>
      </c>
      <c r="J105" s="2">
        <v>22.956013642387262</v>
      </c>
      <c r="K105" s="2">
        <v>20</v>
      </c>
      <c r="L105" s="2" t="s">
        <v>144</v>
      </c>
      <c r="M105" s="2" t="s">
        <v>132</v>
      </c>
      <c r="N105" s="2" t="s">
        <v>31</v>
      </c>
      <c r="O105" s="2" t="s">
        <v>208</v>
      </c>
      <c r="P105" s="2">
        <v>7</v>
      </c>
      <c r="Q105" s="2" t="s">
        <v>124</v>
      </c>
      <c r="R105" s="2">
        <v>70.673555555555566</v>
      </c>
      <c r="S105" s="2">
        <v>0.97616666666666652</v>
      </c>
      <c r="T105" s="2">
        <v>9.2925555555555608</v>
      </c>
      <c r="U105" s="2">
        <v>1.5844444444444445</v>
      </c>
      <c r="V105" s="2">
        <v>1.024</v>
      </c>
      <c r="W105" s="2">
        <v>1.504</v>
      </c>
      <c r="X105" s="2">
        <v>10.365833333333301</v>
      </c>
      <c r="Y105" s="2">
        <v>7.0190000000000001</v>
      </c>
      <c r="Z105" s="2">
        <v>9.7349999999999994</v>
      </c>
      <c r="AA105" s="2">
        <v>47.690555555555555</v>
      </c>
      <c r="AB105" s="2">
        <v>66.772000000000006</v>
      </c>
      <c r="AC105" s="2">
        <v>48.279000000000003</v>
      </c>
      <c r="AD105" s="2" t="s">
        <v>106</v>
      </c>
      <c r="AE105" s="2" t="s">
        <v>106</v>
      </c>
      <c r="AF105" s="2" t="s">
        <v>106</v>
      </c>
      <c r="AG105" s="2">
        <v>0.35</v>
      </c>
      <c r="AH105" s="2">
        <v>43</v>
      </c>
      <c r="AI105" s="2">
        <v>1.9261E-2</v>
      </c>
      <c r="AJ105" s="2">
        <f t="shared" si="4"/>
        <v>447.93023255813955</v>
      </c>
      <c r="AK105" s="2">
        <v>2</v>
      </c>
      <c r="AL105" s="2" t="s">
        <v>116</v>
      </c>
      <c r="AM105" s="2" t="s">
        <v>144</v>
      </c>
      <c r="AN105" s="2" t="s">
        <v>186</v>
      </c>
      <c r="AO105" s="2" t="s">
        <v>212</v>
      </c>
    </row>
    <row r="106" spans="1:41" x14ac:dyDescent="0.35">
      <c r="A106" s="2" t="s">
        <v>186</v>
      </c>
      <c r="B106" s="2" t="s">
        <v>98</v>
      </c>
      <c r="C106" s="2">
        <v>-61.5</v>
      </c>
      <c r="D106" s="2">
        <v>42.5</v>
      </c>
      <c r="E106" s="2">
        <v>153.35071308081615</v>
      </c>
      <c r="F106" s="2">
        <v>100.8574909365974</v>
      </c>
      <c r="G106" s="2">
        <v>60.524538518363201</v>
      </c>
      <c r="H106" s="2">
        <v>32.115566422439379</v>
      </c>
      <c r="I106" s="2">
        <v>54.972239019295337</v>
      </c>
      <c r="J106" s="2">
        <v>30.449389805379216</v>
      </c>
      <c r="K106" s="2">
        <v>29</v>
      </c>
      <c r="L106" s="2" t="s">
        <v>131</v>
      </c>
      <c r="M106" s="2" t="s">
        <v>131</v>
      </c>
      <c r="N106" s="2" t="s">
        <v>31</v>
      </c>
      <c r="O106" s="2" t="s">
        <v>208</v>
      </c>
      <c r="P106" s="2">
        <v>7</v>
      </c>
      <c r="Q106" s="2" t="s">
        <v>124</v>
      </c>
      <c r="R106" s="2">
        <v>66.132000000000005</v>
      </c>
      <c r="S106" s="2">
        <v>1.111</v>
      </c>
      <c r="T106" s="2" t="s">
        <v>106</v>
      </c>
      <c r="U106" s="2">
        <v>1.3239971428571429</v>
      </c>
      <c r="V106" s="2">
        <v>1.2070700000000001</v>
      </c>
      <c r="W106" s="2">
        <v>1.3388899999999999</v>
      </c>
      <c r="X106" s="2">
        <v>15.372142857142901</v>
      </c>
      <c r="Y106" s="2">
        <v>5.4321000000000002</v>
      </c>
      <c r="Z106" s="2">
        <v>15.5945</v>
      </c>
      <c r="AA106" s="2">
        <v>60.067307142857139</v>
      </c>
      <c r="AB106" s="2">
        <v>71.167000000000002</v>
      </c>
      <c r="AC106" s="2">
        <v>59.265099999999997</v>
      </c>
      <c r="AD106" s="2" t="s">
        <v>106</v>
      </c>
      <c r="AE106" s="2" t="s">
        <v>106</v>
      </c>
      <c r="AF106" s="2" t="s">
        <v>106</v>
      </c>
      <c r="AG106" s="2">
        <v>0.1</v>
      </c>
      <c r="AH106" s="2">
        <v>86</v>
      </c>
      <c r="AI106" s="2">
        <v>2.12432E-2</v>
      </c>
      <c r="AJ106" s="2">
        <f t="shared" si="4"/>
        <v>247.0139534883721</v>
      </c>
      <c r="AK106" s="2">
        <v>1.9</v>
      </c>
      <c r="AL106" s="2" t="s">
        <v>116</v>
      </c>
      <c r="AM106" s="2" t="s">
        <v>144</v>
      </c>
      <c r="AN106" s="2" t="s">
        <v>186</v>
      </c>
      <c r="AO106" s="2" t="s">
        <v>212</v>
      </c>
    </row>
    <row r="107" spans="1:41" x14ac:dyDescent="0.35">
      <c r="A107" s="2" t="s">
        <v>186</v>
      </c>
      <c r="B107" s="2" t="s">
        <v>98</v>
      </c>
      <c r="C107" s="2">
        <v>-59.7</v>
      </c>
      <c r="D107" s="2">
        <v>42.9</v>
      </c>
      <c r="E107" s="2">
        <v>128.70012870012854</v>
      </c>
      <c r="F107" s="2">
        <v>87.384201967535191</v>
      </c>
      <c r="G107" s="2">
        <v>55.430241951903987</v>
      </c>
      <c r="H107" s="2">
        <v>32.968271197870216</v>
      </c>
      <c r="I107" s="2">
        <v>50.80010160020305</v>
      </c>
      <c r="J107" s="2">
        <v>27.167769278311447</v>
      </c>
      <c r="K107" s="2">
        <v>26</v>
      </c>
      <c r="L107" s="2" t="s">
        <v>144</v>
      </c>
      <c r="M107" s="2" t="s">
        <v>132</v>
      </c>
      <c r="N107" s="2" t="s">
        <v>31</v>
      </c>
      <c r="O107" s="2" t="s">
        <v>208</v>
      </c>
      <c r="P107" s="2">
        <v>7</v>
      </c>
      <c r="Q107" s="2" t="s">
        <v>124</v>
      </c>
      <c r="R107" s="2">
        <v>66.040000000000006</v>
      </c>
      <c r="S107" s="2">
        <v>1.575</v>
      </c>
      <c r="T107" s="2" t="s">
        <v>106</v>
      </c>
      <c r="U107" s="2">
        <v>1.8634317647058822</v>
      </c>
      <c r="V107" s="2">
        <v>1.53515</v>
      </c>
      <c r="W107" s="2">
        <v>1.6433199999999999</v>
      </c>
      <c r="X107" s="2">
        <v>13.9142235294118</v>
      </c>
      <c r="Y107" s="2">
        <v>8.0870999999999995</v>
      </c>
      <c r="Z107" s="2">
        <v>16.9678</v>
      </c>
      <c r="AA107" s="2">
        <v>49.569535294117649</v>
      </c>
      <c r="AB107" s="2">
        <v>64.788799999999995</v>
      </c>
      <c r="AC107" s="2">
        <v>55.023200000000003</v>
      </c>
      <c r="AD107" s="2" t="s">
        <v>106</v>
      </c>
      <c r="AE107" s="2" t="s">
        <v>106</v>
      </c>
      <c r="AF107" s="2" t="s">
        <v>106</v>
      </c>
      <c r="AG107" s="2">
        <v>0.9</v>
      </c>
      <c r="AH107" s="2">
        <v>119</v>
      </c>
      <c r="AI107" s="2">
        <v>2.6687499999999999E-2</v>
      </c>
      <c r="AJ107" s="2">
        <f t="shared" si="4"/>
        <v>224.26470588235293</v>
      </c>
      <c r="AK107" s="2">
        <v>1.7</v>
      </c>
      <c r="AL107" s="2" t="s">
        <v>116</v>
      </c>
      <c r="AM107" s="2" t="s">
        <v>144</v>
      </c>
      <c r="AN107" s="2" t="s">
        <v>186</v>
      </c>
      <c r="AO107" s="2" t="s">
        <v>212</v>
      </c>
    </row>
    <row r="108" spans="1:41" x14ac:dyDescent="0.35">
      <c r="A108" s="2" t="s">
        <v>186</v>
      </c>
      <c r="B108" s="2" t="s">
        <v>99</v>
      </c>
      <c r="C108" s="2">
        <v>-68.5</v>
      </c>
      <c r="D108" s="2">
        <v>43.3</v>
      </c>
      <c r="E108" s="2">
        <v>155.06280043417624</v>
      </c>
      <c r="F108" s="2">
        <v>44.232879559332183</v>
      </c>
      <c r="G108" s="2">
        <v>58.679561633101031</v>
      </c>
      <c r="H108" s="2">
        <v>21.17707070327771</v>
      </c>
      <c r="I108" s="2">
        <v>53.734551316496464</v>
      </c>
      <c r="J108" s="2">
        <v>17.900007163375548</v>
      </c>
      <c r="K108" s="2">
        <v>31</v>
      </c>
      <c r="L108" s="2" t="s">
        <v>131</v>
      </c>
      <c r="M108" s="2" t="s">
        <v>131</v>
      </c>
      <c r="N108" s="2" t="s">
        <v>31</v>
      </c>
      <c r="O108" s="2" t="s">
        <v>208</v>
      </c>
      <c r="P108" s="2">
        <v>7</v>
      </c>
      <c r="Q108" s="2" t="s">
        <v>124</v>
      </c>
      <c r="R108" s="2">
        <v>71.558090909090922</v>
      </c>
      <c r="S108" s="2">
        <v>0.78554545454545455</v>
      </c>
      <c r="T108" s="2">
        <v>13.0032727272727</v>
      </c>
      <c r="U108" s="2">
        <v>1.2888242307692306</v>
      </c>
      <c r="V108" s="2">
        <v>0.83754399999999996</v>
      </c>
      <c r="W108" s="2">
        <v>1.30871</v>
      </c>
      <c r="X108" s="2">
        <v>11.087265384615399</v>
      </c>
      <c r="Y108" s="2">
        <v>8.7279999999999909</v>
      </c>
      <c r="Z108" s="2">
        <v>10.8643</v>
      </c>
      <c r="AA108" s="2">
        <v>43.797419230769229</v>
      </c>
      <c r="AB108" s="2">
        <v>68.237300000000005</v>
      </c>
      <c r="AC108" s="2">
        <v>43.731699999999996</v>
      </c>
      <c r="AD108" s="2" t="s">
        <v>106</v>
      </c>
      <c r="AE108" s="2" t="s">
        <v>106</v>
      </c>
      <c r="AF108" s="2" t="s">
        <v>106</v>
      </c>
      <c r="AG108" s="2">
        <v>0.8</v>
      </c>
      <c r="AH108" s="2">
        <v>24</v>
      </c>
      <c r="AI108" s="2">
        <v>8.2037499999999992E-3</v>
      </c>
      <c r="AJ108" s="2">
        <f t="shared" si="4"/>
        <v>341.82291666666663</v>
      </c>
      <c r="AK108" s="2">
        <v>3.2</v>
      </c>
      <c r="AL108" s="2" t="s">
        <v>116</v>
      </c>
      <c r="AM108" s="2" t="s">
        <v>144</v>
      </c>
      <c r="AN108" s="2" t="s">
        <v>186</v>
      </c>
      <c r="AO108" s="2" t="s">
        <v>212</v>
      </c>
    </row>
    <row r="109" spans="1:41" x14ac:dyDescent="0.35">
      <c r="A109" s="2" t="s">
        <v>186</v>
      </c>
      <c r="B109" s="2" t="s">
        <v>99</v>
      </c>
      <c r="C109" s="2">
        <v>-65.400000000000006</v>
      </c>
      <c r="D109" s="2">
        <v>43.7</v>
      </c>
      <c r="E109" s="2">
        <v>142.83673760891293</v>
      </c>
      <c r="F109" s="2">
        <v>26.21374630484183</v>
      </c>
      <c r="G109" s="2">
        <v>57.147426626419168</v>
      </c>
      <c r="H109" s="2">
        <v>20.830691420543452</v>
      </c>
      <c r="I109" s="2">
        <v>49.815681976686371</v>
      </c>
      <c r="J109" s="2">
        <v>16.18486776766477</v>
      </c>
      <c r="K109" s="2">
        <v>27</v>
      </c>
      <c r="L109" s="2" t="s">
        <v>144</v>
      </c>
      <c r="M109" s="2" t="s">
        <v>132</v>
      </c>
      <c r="N109" s="2" t="s">
        <v>31</v>
      </c>
      <c r="O109" s="2" t="s">
        <v>208</v>
      </c>
      <c r="P109" s="2">
        <v>7</v>
      </c>
      <c r="Q109" s="2" t="s">
        <v>124</v>
      </c>
      <c r="R109" s="2">
        <v>68.361166666666648</v>
      </c>
      <c r="S109" s="2">
        <v>0.91716666666666646</v>
      </c>
      <c r="T109" s="2">
        <v>12.8021666666667</v>
      </c>
      <c r="U109" s="2">
        <v>1.8498357692307694</v>
      </c>
      <c r="V109" s="2">
        <v>1.07656</v>
      </c>
      <c r="W109" s="2">
        <v>1.7791999999999999</v>
      </c>
      <c r="X109" s="2">
        <v>11.5004307692308</v>
      </c>
      <c r="Y109" s="2">
        <v>7.08012</v>
      </c>
      <c r="Z109" s="2">
        <v>9.4299300000000006</v>
      </c>
      <c r="AA109" s="2">
        <v>36.142203846153855</v>
      </c>
      <c r="AB109" s="2">
        <v>60.668900000000001</v>
      </c>
      <c r="AC109" s="2">
        <v>38.207999999999998</v>
      </c>
      <c r="AD109" s="2" t="s">
        <v>106</v>
      </c>
      <c r="AE109" s="2" t="s">
        <v>106</v>
      </c>
      <c r="AF109" s="2" t="s">
        <v>106</v>
      </c>
      <c r="AG109" s="2">
        <v>0.5</v>
      </c>
      <c r="AH109" s="2">
        <v>43</v>
      </c>
      <c r="AI109" s="2">
        <v>9.4132699999999996E-3</v>
      </c>
      <c r="AJ109" s="2">
        <f t="shared" si="4"/>
        <v>218.9132558139535</v>
      </c>
      <c r="AK109" s="2">
        <v>2.8</v>
      </c>
      <c r="AL109" s="2" t="s">
        <v>116</v>
      </c>
      <c r="AM109" s="2" t="s">
        <v>144</v>
      </c>
      <c r="AN109" s="2" t="s">
        <v>186</v>
      </c>
      <c r="AO109" s="2" t="s">
        <v>212</v>
      </c>
    </row>
    <row r="110" spans="1:41" x14ac:dyDescent="0.35">
      <c r="A110" s="2" t="s">
        <v>187</v>
      </c>
      <c r="B110" s="2" t="s">
        <v>100</v>
      </c>
      <c r="C110" s="2">
        <v>-60</v>
      </c>
      <c r="D110" s="2">
        <v>44.1</v>
      </c>
      <c r="E110" s="2">
        <v>102.75380189066996</v>
      </c>
      <c r="F110" s="2">
        <v>70.676730273505981</v>
      </c>
      <c r="G110" s="2">
        <v>49.13224576962142</v>
      </c>
      <c r="H110" s="2">
        <v>30.098691365792384</v>
      </c>
      <c r="I110" s="2">
        <v>43.677658877484198</v>
      </c>
      <c r="J110" s="2">
        <v>25.029305925381962</v>
      </c>
      <c r="K110" s="2">
        <v>23</v>
      </c>
      <c r="L110" s="2" t="s">
        <v>131</v>
      </c>
      <c r="M110" s="2" t="s">
        <v>131</v>
      </c>
      <c r="N110" s="2" t="s">
        <v>31</v>
      </c>
      <c r="O110" s="2" t="s">
        <v>208</v>
      </c>
      <c r="P110" s="2">
        <v>7</v>
      </c>
      <c r="Q110" s="2" t="s">
        <v>124</v>
      </c>
      <c r="R110" s="2">
        <v>77.437444444444452</v>
      </c>
      <c r="S110" s="2">
        <v>1.1053888888888888</v>
      </c>
      <c r="T110" s="2">
        <v>16.683722222222201</v>
      </c>
      <c r="U110" s="2">
        <v>1.4265384615384618</v>
      </c>
      <c r="V110" s="2">
        <v>1.173</v>
      </c>
      <c r="W110" s="2">
        <v>1.417</v>
      </c>
      <c r="X110" s="2">
        <v>15.234</v>
      </c>
      <c r="Y110" s="2">
        <v>16.571000000000002</v>
      </c>
      <c r="Z110" s="2">
        <v>15.167</v>
      </c>
      <c r="AA110" s="2">
        <v>65.649153846153865</v>
      </c>
      <c r="AB110" s="2">
        <v>78.597999999999999</v>
      </c>
      <c r="AC110" s="2">
        <v>65.933000000000007</v>
      </c>
      <c r="AD110" s="2" t="s">
        <v>106</v>
      </c>
      <c r="AE110" s="2" t="s">
        <v>106</v>
      </c>
      <c r="AF110" s="2" t="s">
        <v>106</v>
      </c>
      <c r="AG110" s="2">
        <v>0.25</v>
      </c>
      <c r="AH110" s="2">
        <v>124</v>
      </c>
      <c r="AI110" s="2">
        <v>1.84595E-2</v>
      </c>
      <c r="AJ110" s="2">
        <f t="shared" si="4"/>
        <v>148.86693548387098</v>
      </c>
      <c r="AK110" s="2">
        <v>1.8</v>
      </c>
      <c r="AL110" s="2" t="s">
        <v>116</v>
      </c>
      <c r="AM110" s="2" t="s">
        <v>144</v>
      </c>
      <c r="AN110" s="2" t="s">
        <v>187</v>
      </c>
      <c r="AO110" s="2" t="s">
        <v>211</v>
      </c>
    </row>
    <row r="111" spans="1:41" x14ac:dyDescent="0.35">
      <c r="A111" s="2" t="s">
        <v>187</v>
      </c>
      <c r="B111" s="2" t="s">
        <v>100</v>
      </c>
      <c r="C111" s="2">
        <v>-60</v>
      </c>
      <c r="D111" s="2">
        <v>44.5</v>
      </c>
      <c r="E111" s="2">
        <v>111.58223610801174</v>
      </c>
      <c r="F111" s="2">
        <v>74.849445913780357</v>
      </c>
      <c r="G111" s="2">
        <v>55.723104224202331</v>
      </c>
      <c r="H111" s="2">
        <v>30.857362970748845</v>
      </c>
      <c r="I111" s="2">
        <v>40.728220584042688</v>
      </c>
      <c r="J111" s="2">
        <v>27.435243612964079</v>
      </c>
      <c r="K111" s="2">
        <v>22</v>
      </c>
      <c r="L111" s="2" t="s">
        <v>144</v>
      </c>
      <c r="M111" s="2" t="s">
        <v>132</v>
      </c>
      <c r="N111" s="2" t="s">
        <v>31</v>
      </c>
      <c r="O111" s="2" t="s">
        <v>208</v>
      </c>
      <c r="P111" s="2">
        <v>7</v>
      </c>
      <c r="Q111" s="2" t="s">
        <v>124</v>
      </c>
      <c r="R111" s="2">
        <v>68.140555555555537</v>
      </c>
      <c r="S111" s="2">
        <v>1.1096111111111109</v>
      </c>
      <c r="T111" s="2">
        <v>15.586</v>
      </c>
      <c r="U111" s="2">
        <v>1.3517142857142854</v>
      </c>
      <c r="V111" s="2">
        <v>1.113</v>
      </c>
      <c r="W111" s="2">
        <v>1.3360000000000001</v>
      </c>
      <c r="X111" s="2">
        <v>14.7705</v>
      </c>
      <c r="Y111" s="2">
        <v>15.090999999999999</v>
      </c>
      <c r="Z111" s="2">
        <v>14.984</v>
      </c>
      <c r="AA111" s="2">
        <v>62.79207142857144</v>
      </c>
      <c r="AB111" s="2">
        <v>73.775999999999996</v>
      </c>
      <c r="AC111" s="2">
        <v>63.308999999999997</v>
      </c>
      <c r="AD111" s="2" t="s">
        <v>106</v>
      </c>
      <c r="AE111" s="2" t="s">
        <v>106</v>
      </c>
      <c r="AF111" s="2" t="s">
        <v>106</v>
      </c>
      <c r="AG111" s="2">
        <v>0.3</v>
      </c>
      <c r="AH111" s="2">
        <v>115</v>
      </c>
      <c r="AI111" s="2">
        <v>1.5889500000000001E-2</v>
      </c>
      <c r="AJ111" s="2">
        <f t="shared" si="4"/>
        <v>138.16956521739129</v>
      </c>
      <c r="AK111" s="2">
        <v>2</v>
      </c>
      <c r="AL111" s="2" t="s">
        <v>116</v>
      </c>
      <c r="AM111" s="2" t="s">
        <v>144</v>
      </c>
      <c r="AN111" s="2" t="s">
        <v>187</v>
      </c>
      <c r="AO111" s="2" t="s">
        <v>211</v>
      </c>
    </row>
    <row r="112" spans="1:41" ht="21" customHeight="1" x14ac:dyDescent="0.35">
      <c r="A112" s="2" t="s">
        <v>187</v>
      </c>
      <c r="B112" s="2" t="s">
        <v>101</v>
      </c>
      <c r="C112" s="2">
        <v>-67.5</v>
      </c>
      <c r="D112" s="2">
        <v>44.9</v>
      </c>
      <c r="E112" s="2">
        <v>106.76916506512903</v>
      </c>
      <c r="F112" s="2">
        <v>102.18596226006429</v>
      </c>
      <c r="G112" s="2">
        <v>43.462400820118305</v>
      </c>
      <c r="H112" s="2">
        <v>36.130852491888866</v>
      </c>
      <c r="I112" s="2">
        <v>38.322986127078948</v>
      </c>
      <c r="J112" s="2">
        <v>30.0017885500089</v>
      </c>
      <c r="K112" s="2">
        <v>20</v>
      </c>
      <c r="L112" s="2" t="s">
        <v>131</v>
      </c>
      <c r="M112" s="2" t="s">
        <v>131</v>
      </c>
      <c r="N112" s="2" t="s">
        <v>31</v>
      </c>
      <c r="O112" s="2" t="s">
        <v>208</v>
      </c>
      <c r="P112" s="2">
        <v>7</v>
      </c>
      <c r="Q112" s="2" t="s">
        <v>124</v>
      </c>
      <c r="R112" s="2" t="s">
        <v>106</v>
      </c>
      <c r="S112" s="2" t="s">
        <v>106</v>
      </c>
      <c r="T112" s="2" t="s">
        <v>106</v>
      </c>
      <c r="U112" s="2" t="s">
        <v>106</v>
      </c>
      <c r="V112" s="2" t="s">
        <v>106</v>
      </c>
      <c r="W112" s="2" t="s">
        <v>106</v>
      </c>
      <c r="X112" s="2" t="s">
        <v>106</v>
      </c>
      <c r="Y112" s="2" t="s">
        <v>106</v>
      </c>
      <c r="Z112" s="2" t="s">
        <v>106</v>
      </c>
      <c r="AA112" s="2" t="s">
        <v>106</v>
      </c>
      <c r="AB112" s="2" t="s">
        <v>106</v>
      </c>
      <c r="AC112" s="2" t="s">
        <v>106</v>
      </c>
      <c r="AD112" s="2" t="s">
        <v>106</v>
      </c>
      <c r="AE112" s="2" t="s">
        <v>106</v>
      </c>
      <c r="AF112" s="2" t="s">
        <v>106</v>
      </c>
      <c r="AG112" s="2">
        <v>1.2</v>
      </c>
      <c r="AH112" s="2">
        <v>35</v>
      </c>
      <c r="AI112" s="3">
        <v>8.7634500000000008E-3</v>
      </c>
      <c r="AJ112" s="2">
        <f t="shared" si="4"/>
        <v>250.38428571428577</v>
      </c>
      <c r="AK112" s="2">
        <v>2.5</v>
      </c>
      <c r="AL112" s="2" t="s">
        <v>116</v>
      </c>
      <c r="AM112" s="2" t="s">
        <v>144</v>
      </c>
      <c r="AN112" s="2" t="s">
        <v>187</v>
      </c>
      <c r="AO112" s="2" t="s">
        <v>211</v>
      </c>
    </row>
    <row r="113" spans="1:41" x14ac:dyDescent="0.35">
      <c r="A113" s="2" t="s">
        <v>187</v>
      </c>
      <c r="B113" s="2" t="s">
        <v>101</v>
      </c>
      <c r="C113" s="2">
        <v>-64.2</v>
      </c>
      <c r="D113" s="2">
        <v>45.3</v>
      </c>
      <c r="E113" s="2">
        <v>107.10078183570752</v>
      </c>
      <c r="F113" s="2">
        <v>97.200289060995516</v>
      </c>
      <c r="G113" s="2">
        <v>49.01088197943006</v>
      </c>
      <c r="H113" s="2">
        <v>38.727814431167253</v>
      </c>
      <c r="I113" s="2">
        <v>40.769732550554622</v>
      </c>
      <c r="J113" s="2">
        <v>27.454152162920966</v>
      </c>
      <c r="K113" s="2">
        <v>23</v>
      </c>
      <c r="L113" s="2" t="s">
        <v>144</v>
      </c>
      <c r="M113" s="2" t="s">
        <v>132</v>
      </c>
      <c r="N113" s="2" t="s">
        <v>31</v>
      </c>
      <c r="O113" s="2" t="s">
        <v>208</v>
      </c>
      <c r="P113" s="2">
        <v>7</v>
      </c>
      <c r="Q113" s="2" t="s">
        <v>124</v>
      </c>
      <c r="R113" s="2" t="s">
        <v>106</v>
      </c>
      <c r="S113" s="2" t="s">
        <v>106</v>
      </c>
      <c r="T113" s="2" t="s">
        <v>106</v>
      </c>
      <c r="U113" s="2" t="s">
        <v>106</v>
      </c>
      <c r="V113" s="2" t="s">
        <v>106</v>
      </c>
      <c r="W113" s="2" t="s">
        <v>106</v>
      </c>
      <c r="X113" s="2" t="s">
        <v>106</v>
      </c>
      <c r="Y113" s="2" t="s">
        <v>106</v>
      </c>
      <c r="Z113" s="2" t="s">
        <v>106</v>
      </c>
      <c r="AA113" s="2" t="s">
        <v>106</v>
      </c>
      <c r="AB113" s="2" t="s">
        <v>106</v>
      </c>
      <c r="AC113" s="2" t="s">
        <v>106</v>
      </c>
      <c r="AD113" s="2" t="s">
        <v>106</v>
      </c>
      <c r="AE113" s="2" t="s">
        <v>106</v>
      </c>
      <c r="AF113" s="2" t="s">
        <v>106</v>
      </c>
      <c r="AG113" s="2">
        <v>1.1000000000000001</v>
      </c>
      <c r="AH113" s="2">
        <v>21</v>
      </c>
      <c r="AI113" s="2">
        <v>5.19748E-3</v>
      </c>
      <c r="AJ113" s="2">
        <f t="shared" si="4"/>
        <v>247.49904761904764</v>
      </c>
      <c r="AK113" s="2">
        <v>2.5</v>
      </c>
      <c r="AL113" s="2" t="s">
        <v>116</v>
      </c>
      <c r="AM113" s="2" t="s">
        <v>144</v>
      </c>
      <c r="AN113" s="2" t="s">
        <v>187</v>
      </c>
      <c r="AO113" s="2" t="s">
        <v>211</v>
      </c>
    </row>
    <row r="114" spans="1:41" x14ac:dyDescent="0.35">
      <c r="A114" s="4" t="s">
        <v>188</v>
      </c>
      <c r="B114" s="4" t="s">
        <v>146</v>
      </c>
      <c r="C114" s="4">
        <v>-76.400000000000006</v>
      </c>
      <c r="D114" s="4">
        <v>45.7</v>
      </c>
      <c r="E114" s="4">
        <v>126.75877804537949</v>
      </c>
      <c r="F114" s="4">
        <v>108.58211929934885</v>
      </c>
      <c r="G114" s="4">
        <v>49.492102800044947</v>
      </c>
      <c r="H114" s="4">
        <v>35.631547095493339</v>
      </c>
      <c r="I114" s="4">
        <v>34.443564220025472</v>
      </c>
      <c r="J114" s="4">
        <v>30.510716219350467</v>
      </c>
      <c r="K114" s="4">
        <v>18</v>
      </c>
      <c r="L114" s="4" t="s">
        <v>131</v>
      </c>
      <c r="M114" s="4" t="s">
        <v>131</v>
      </c>
      <c r="N114" s="4" t="s">
        <v>31</v>
      </c>
      <c r="O114" s="4" t="s">
        <v>207</v>
      </c>
      <c r="P114" s="4">
        <v>14</v>
      </c>
      <c r="Q114" s="4" t="s">
        <v>123</v>
      </c>
      <c r="R114" s="4">
        <v>80.01218181818183</v>
      </c>
      <c r="S114" s="4">
        <v>1.1125454545454547</v>
      </c>
      <c r="T114" s="4">
        <v>4.1165454545454603</v>
      </c>
      <c r="U114" s="4">
        <v>1.8037499999999997</v>
      </c>
      <c r="V114" s="4">
        <v>1.2110000000000001</v>
      </c>
      <c r="W114" s="4">
        <v>1.851</v>
      </c>
      <c r="X114" s="4">
        <v>14.757400000000001</v>
      </c>
      <c r="Y114" s="4">
        <v>4.4989999999999997</v>
      </c>
      <c r="Z114" s="4">
        <v>15.869</v>
      </c>
      <c r="AA114" s="4">
        <v>68.469874999999988</v>
      </c>
      <c r="AB114" s="4">
        <v>78.736999999999995</v>
      </c>
      <c r="AC114" s="4">
        <v>64.78</v>
      </c>
      <c r="AD114" s="4">
        <f>76.6-74.5</f>
        <v>2.0999999999999943</v>
      </c>
      <c r="AE114" s="4">
        <f>(421-261)/2</f>
        <v>80</v>
      </c>
      <c r="AF114" s="4">
        <v>0</v>
      </c>
      <c r="AG114" s="4">
        <v>0.27500000000000002</v>
      </c>
      <c r="AH114" s="4">
        <v>60</v>
      </c>
      <c r="AI114" s="4">
        <v>1.8596600000000001E-2</v>
      </c>
      <c r="AJ114" s="4">
        <f t="shared" si="4"/>
        <v>309.94333333333333</v>
      </c>
      <c r="AK114" s="4">
        <v>1.85</v>
      </c>
      <c r="AL114" s="4" t="s">
        <v>115</v>
      </c>
      <c r="AM114" s="2" t="s">
        <v>144</v>
      </c>
      <c r="AN114" s="4" t="s">
        <v>188</v>
      </c>
      <c r="AO114" s="4" t="s">
        <v>212</v>
      </c>
    </row>
    <row r="115" spans="1:41" x14ac:dyDescent="0.35">
      <c r="A115" s="4" t="s">
        <v>188</v>
      </c>
      <c r="B115" s="4" t="s">
        <v>146</v>
      </c>
      <c r="C115" s="4">
        <v>-74</v>
      </c>
      <c r="D115" s="4">
        <v>46.1</v>
      </c>
      <c r="E115" s="4">
        <v>110.22927689594353</v>
      </c>
      <c r="F115" s="4">
        <v>117.63726482742409</v>
      </c>
      <c r="G115" s="4">
        <v>41.517532244335847</v>
      </c>
      <c r="H115" s="4">
        <v>41.954901663255839</v>
      </c>
      <c r="I115" s="4">
        <v>34.129692832764555</v>
      </c>
      <c r="J115" s="4">
        <v>35.859091444553982</v>
      </c>
      <c r="K115" s="4">
        <v>22</v>
      </c>
      <c r="L115" s="4" t="s">
        <v>144</v>
      </c>
      <c r="M115" s="4" t="s">
        <v>132</v>
      </c>
      <c r="N115" s="4" t="s">
        <v>31</v>
      </c>
      <c r="O115" s="4" t="s">
        <v>207</v>
      </c>
      <c r="P115" s="4">
        <v>14</v>
      </c>
      <c r="Q115" s="4" t="s">
        <v>123</v>
      </c>
      <c r="R115" s="4">
        <v>65.505272727272725</v>
      </c>
      <c r="S115" s="4">
        <v>1.3485454545454545</v>
      </c>
      <c r="T115" s="4">
        <v>1.8129999999999999</v>
      </c>
      <c r="U115" s="4">
        <v>2.1492</v>
      </c>
      <c r="V115" s="4">
        <v>1.306</v>
      </c>
      <c r="W115" s="4">
        <v>2.13</v>
      </c>
      <c r="X115" s="4">
        <v>17.019300000000001</v>
      </c>
      <c r="Y115" s="4">
        <v>3.8919999999999999</v>
      </c>
      <c r="Z115" s="4">
        <v>14.182</v>
      </c>
      <c r="AA115" s="4">
        <v>57.438199999999995</v>
      </c>
      <c r="AB115" s="4">
        <v>66.603999999999999</v>
      </c>
      <c r="AC115" s="4">
        <v>52.651000000000003</v>
      </c>
      <c r="AD115" s="4">
        <f>75-73</f>
        <v>2</v>
      </c>
      <c r="AE115" s="4">
        <f>(448-275)/2</f>
        <v>86.5</v>
      </c>
      <c r="AF115" s="4">
        <v>0</v>
      </c>
      <c r="AG115" s="4">
        <v>0.2</v>
      </c>
      <c r="AH115" s="4">
        <v>78</v>
      </c>
      <c r="AI115" s="4">
        <v>2.2239999999999999E-2</v>
      </c>
      <c r="AJ115" s="4">
        <f t="shared" si="4"/>
        <v>285.12820512820514</v>
      </c>
      <c r="AK115" s="4">
        <v>1.5</v>
      </c>
      <c r="AL115" s="4" t="s">
        <v>115</v>
      </c>
      <c r="AM115" s="2" t="s">
        <v>144</v>
      </c>
      <c r="AN115" s="4" t="s">
        <v>188</v>
      </c>
      <c r="AO115" s="4" t="s">
        <v>212</v>
      </c>
    </row>
    <row r="116" spans="1:41" x14ac:dyDescent="0.35">
      <c r="A116" s="4" t="s">
        <v>188</v>
      </c>
      <c r="B116" s="4" t="s">
        <v>147</v>
      </c>
      <c r="C116" s="4">
        <v>-74.400000000000006</v>
      </c>
      <c r="D116" s="4">
        <v>46.5</v>
      </c>
      <c r="E116" s="4">
        <v>102.36462278636527</v>
      </c>
      <c r="F116" s="4">
        <v>55.64347938937356</v>
      </c>
      <c r="G116" s="4">
        <v>41.515844421921031</v>
      </c>
      <c r="H116" s="4">
        <v>22.346406679853384</v>
      </c>
      <c r="I116" s="4">
        <v>37.16643127926848</v>
      </c>
      <c r="J116" s="4">
        <v>20.131707827671956</v>
      </c>
      <c r="K116" s="4">
        <v>20</v>
      </c>
      <c r="L116" s="4" t="s">
        <v>131</v>
      </c>
      <c r="M116" s="4" t="s">
        <v>131</v>
      </c>
      <c r="N116" s="4" t="s">
        <v>31</v>
      </c>
      <c r="O116" s="4" t="s">
        <v>207</v>
      </c>
      <c r="P116" s="4">
        <v>14</v>
      </c>
      <c r="Q116" s="4" t="s">
        <v>123</v>
      </c>
      <c r="R116" s="4">
        <v>87.851749999999996</v>
      </c>
      <c r="S116" s="4">
        <v>1.2015</v>
      </c>
      <c r="T116" s="4">
        <v>4.3045714285713998</v>
      </c>
      <c r="U116" s="4">
        <v>1.8350000000000002</v>
      </c>
      <c r="V116" s="4">
        <v>1.163</v>
      </c>
      <c r="W116" s="4">
        <v>1.8540000000000001</v>
      </c>
      <c r="X116" s="4">
        <v>17.9146</v>
      </c>
      <c r="Y116" s="4">
        <v>1.2370000000000001</v>
      </c>
      <c r="Z116" s="4">
        <v>15.467000000000001</v>
      </c>
      <c r="AA116" s="4">
        <v>67.120666666666665</v>
      </c>
      <c r="AB116" s="4">
        <v>86.325000000000003</v>
      </c>
      <c r="AC116" s="4">
        <v>67.566999999999993</v>
      </c>
      <c r="AD116" s="4">
        <f>77.75-76.2</f>
        <v>1.5499999999999972</v>
      </c>
      <c r="AE116" s="4">
        <f>314/2</f>
        <v>157</v>
      </c>
      <c r="AF116" s="4">
        <v>0</v>
      </c>
      <c r="AG116" s="4">
        <v>0.2</v>
      </c>
      <c r="AH116" s="4">
        <v>55</v>
      </c>
      <c r="AI116" s="4">
        <v>2.5376699999999999E-2</v>
      </c>
      <c r="AJ116" s="4">
        <f t="shared" ref="AJ116:AJ179" si="5">(AI116/AH116)*1000000</f>
        <v>461.39454545454544</v>
      </c>
      <c r="AK116" s="4">
        <v>2.9</v>
      </c>
      <c r="AL116" s="4" t="s">
        <v>115</v>
      </c>
      <c r="AM116" s="2" t="s">
        <v>144</v>
      </c>
      <c r="AN116" s="4" t="s">
        <v>188</v>
      </c>
      <c r="AO116" s="4" t="s">
        <v>212</v>
      </c>
    </row>
    <row r="117" spans="1:41" x14ac:dyDescent="0.35">
      <c r="A117" s="4" t="s">
        <v>188</v>
      </c>
      <c r="B117" s="4" t="s">
        <v>147</v>
      </c>
      <c r="C117" s="4">
        <v>-75.8</v>
      </c>
      <c r="D117" s="4">
        <v>46.9</v>
      </c>
      <c r="E117" s="4">
        <v>130.36110024768621</v>
      </c>
      <c r="F117" s="4">
        <v>82.502843842425079</v>
      </c>
      <c r="G117" s="4">
        <v>41.585708601326111</v>
      </c>
      <c r="H117" s="4">
        <v>27.014077572375797</v>
      </c>
      <c r="I117" s="4">
        <v>32.439095598014731</v>
      </c>
      <c r="J117" s="4">
        <v>17.646978893015699</v>
      </c>
      <c r="K117" s="4">
        <v>22</v>
      </c>
      <c r="L117" s="4" t="s">
        <v>144</v>
      </c>
      <c r="M117" s="4" t="s">
        <v>132</v>
      </c>
      <c r="N117" s="4" t="s">
        <v>31</v>
      </c>
      <c r="O117" s="4" t="s">
        <v>207</v>
      </c>
      <c r="P117" s="4">
        <v>14</v>
      </c>
      <c r="Q117" s="4" t="s">
        <v>123</v>
      </c>
      <c r="R117" s="4">
        <v>84.201562499999994</v>
      </c>
      <c r="S117" s="4">
        <v>1.2044999999999999</v>
      </c>
      <c r="T117" s="4">
        <v>3.7187749999999999</v>
      </c>
      <c r="U117" s="4">
        <v>1.8284545454545453</v>
      </c>
      <c r="V117" s="4">
        <v>1.196</v>
      </c>
      <c r="W117" s="4">
        <v>2.3530000000000002</v>
      </c>
      <c r="X117" s="4">
        <v>12.553266666666699</v>
      </c>
      <c r="Y117" s="4">
        <v>6.2910000000000004</v>
      </c>
      <c r="Z117" s="4">
        <v>11.468</v>
      </c>
      <c r="AA117" s="4">
        <v>63.013933333333327</v>
      </c>
      <c r="AB117" s="4">
        <v>90.51</v>
      </c>
      <c r="AC117" s="4">
        <v>61.634</v>
      </c>
      <c r="AD117" s="4">
        <f>74.49-73.2</f>
        <v>1.289999999999992</v>
      </c>
      <c r="AE117" s="4">
        <f>238/2</f>
        <v>119</v>
      </c>
      <c r="AF117" s="4">
        <v>0</v>
      </c>
      <c r="AG117" s="4">
        <v>0.4</v>
      </c>
      <c r="AH117" s="4">
        <v>44</v>
      </c>
      <c r="AI117" s="4">
        <v>2.3527900000000001E-2</v>
      </c>
      <c r="AJ117" s="4">
        <f t="shared" si="5"/>
        <v>534.72500000000002</v>
      </c>
      <c r="AK117" s="4">
        <v>2.1</v>
      </c>
      <c r="AL117" s="4" t="s">
        <v>115</v>
      </c>
      <c r="AM117" s="2" t="s">
        <v>144</v>
      </c>
      <c r="AN117" s="4" t="s">
        <v>188</v>
      </c>
      <c r="AO117" s="4" t="s">
        <v>212</v>
      </c>
    </row>
    <row r="118" spans="1:41" x14ac:dyDescent="0.35">
      <c r="A118" s="4" t="s">
        <v>188</v>
      </c>
      <c r="B118" s="4" t="s">
        <v>148</v>
      </c>
      <c r="C118" s="4">
        <v>-75.2</v>
      </c>
      <c r="D118" s="4">
        <v>47.3</v>
      </c>
      <c r="E118" s="4">
        <v>115.47344110854507</v>
      </c>
      <c r="F118" s="4">
        <v>134.29943559112289</v>
      </c>
      <c r="G118" s="4">
        <v>41.601261634399592</v>
      </c>
      <c r="H118" s="4">
        <v>46.290355171889487</v>
      </c>
      <c r="I118" s="4">
        <v>32.213381438649606</v>
      </c>
      <c r="J118" s="4">
        <v>37.842442136981546</v>
      </c>
      <c r="K118" s="4">
        <v>19</v>
      </c>
      <c r="L118" s="4" t="s">
        <v>131</v>
      </c>
      <c r="M118" s="4" t="s">
        <v>131</v>
      </c>
      <c r="N118" s="4" t="s">
        <v>31</v>
      </c>
      <c r="O118" s="4" t="s">
        <v>207</v>
      </c>
      <c r="P118" s="4">
        <v>14</v>
      </c>
      <c r="Q118" s="4" t="s">
        <v>123</v>
      </c>
      <c r="R118" s="4">
        <v>88.822307692307703</v>
      </c>
      <c r="S118" s="4">
        <v>1.1333076923076921</v>
      </c>
      <c r="T118" s="4">
        <v>5.48938461538462</v>
      </c>
      <c r="U118" s="4">
        <v>2.5820000000000007</v>
      </c>
      <c r="V118" s="4">
        <v>1.048</v>
      </c>
      <c r="W118" s="4">
        <v>3.133</v>
      </c>
      <c r="X118" s="4">
        <v>14.1615</v>
      </c>
      <c r="Y118" s="4">
        <v>2.4780000000000002</v>
      </c>
      <c r="Z118" s="4">
        <v>11.667999999999999</v>
      </c>
      <c r="AA118" s="4">
        <v>59.870714285714293</v>
      </c>
      <c r="AB118" s="4">
        <v>88.58</v>
      </c>
      <c r="AC118" s="4">
        <v>55.847000000000001</v>
      </c>
      <c r="AD118" s="4">
        <f>76.4-74.9</f>
        <v>1.5</v>
      </c>
      <c r="AE118" s="4">
        <f>(399-259)/2</f>
        <v>70</v>
      </c>
      <c r="AF118" s="4">
        <v>0</v>
      </c>
      <c r="AG118" s="4">
        <v>0.25</v>
      </c>
      <c r="AH118" s="4">
        <v>75</v>
      </c>
      <c r="AI118" s="4">
        <v>1.57834E-2</v>
      </c>
      <c r="AJ118" s="4">
        <f t="shared" si="5"/>
        <v>210.44533333333331</v>
      </c>
      <c r="AK118" s="4">
        <v>1.3</v>
      </c>
      <c r="AL118" s="4" t="s">
        <v>115</v>
      </c>
      <c r="AM118" s="2" t="s">
        <v>144</v>
      </c>
      <c r="AN118" s="4" t="s">
        <v>188</v>
      </c>
      <c r="AO118" s="4" t="s">
        <v>212</v>
      </c>
    </row>
    <row r="119" spans="1:41" x14ac:dyDescent="0.35">
      <c r="A119" s="4" t="s">
        <v>188</v>
      </c>
      <c r="B119" s="4" t="s">
        <v>148</v>
      </c>
      <c r="C119" s="4">
        <v>-72.900000000000006</v>
      </c>
      <c r="D119" s="4">
        <v>47.7</v>
      </c>
      <c r="E119" s="4">
        <v>104.37323870159703</v>
      </c>
      <c r="F119" s="4">
        <v>191.39963935840862</v>
      </c>
      <c r="G119" s="4">
        <v>42.814576929864288</v>
      </c>
      <c r="H119" s="4">
        <v>71.775789316225442</v>
      </c>
      <c r="I119" s="4">
        <v>29.078220412910742</v>
      </c>
      <c r="J119" s="4">
        <v>45.096154544346192</v>
      </c>
      <c r="K119" s="4">
        <v>23</v>
      </c>
      <c r="L119" s="4" t="s">
        <v>144</v>
      </c>
      <c r="M119" s="4" t="s">
        <v>132</v>
      </c>
      <c r="N119" s="4" t="s">
        <v>31</v>
      </c>
      <c r="O119" s="4" t="s">
        <v>207</v>
      </c>
      <c r="P119" s="4">
        <v>14</v>
      </c>
      <c r="Q119" s="4" t="s">
        <v>123</v>
      </c>
      <c r="R119" s="4">
        <v>86.366933333333321</v>
      </c>
      <c r="S119" s="4">
        <v>1.2343999999999999</v>
      </c>
      <c r="T119" s="4">
        <v>2.8358666666666701</v>
      </c>
      <c r="U119" s="4">
        <v>5.6092941176470594</v>
      </c>
      <c r="V119" s="4">
        <v>1.1339999999999999</v>
      </c>
      <c r="W119" s="4">
        <v>5.8570000000000002</v>
      </c>
      <c r="X119" s="4">
        <v>8.6322727272727295</v>
      </c>
      <c r="Y119" s="4">
        <v>0.73699999999999999</v>
      </c>
      <c r="Z119" s="4">
        <v>0</v>
      </c>
      <c r="AA119" s="4">
        <v>26.545529411764708</v>
      </c>
      <c r="AB119" s="4">
        <v>85.646000000000001</v>
      </c>
      <c r="AC119" s="4">
        <v>19.693000000000001</v>
      </c>
      <c r="AD119" s="4">
        <f>75.2-74.4</f>
        <v>0.79999999999999716</v>
      </c>
      <c r="AE119" s="4">
        <f>(395-270)/2</f>
        <v>62.5</v>
      </c>
      <c r="AF119" s="4">
        <v>0</v>
      </c>
      <c r="AG119" s="4">
        <v>0.4</v>
      </c>
      <c r="AH119" s="4">
        <v>82</v>
      </c>
      <c r="AI119" s="4">
        <v>1.78987E-2</v>
      </c>
      <c r="AJ119" s="4">
        <f t="shared" si="5"/>
        <v>218.27682926829269</v>
      </c>
      <c r="AK119" s="4">
        <v>0.95</v>
      </c>
      <c r="AL119" s="4" t="s">
        <v>115</v>
      </c>
      <c r="AM119" s="2" t="s">
        <v>144</v>
      </c>
      <c r="AN119" s="4" t="s">
        <v>188</v>
      </c>
      <c r="AO119" s="4" t="s">
        <v>212</v>
      </c>
    </row>
    <row r="120" spans="1:41" x14ac:dyDescent="0.35">
      <c r="A120" s="4" t="s">
        <v>188</v>
      </c>
      <c r="B120" s="4" t="s">
        <v>149</v>
      </c>
      <c r="C120" s="4">
        <v>-74.900000000000006</v>
      </c>
      <c r="D120" s="4">
        <v>48.1</v>
      </c>
      <c r="E120" s="4">
        <v>100.85728693898142</v>
      </c>
      <c r="F120" s="4">
        <v>54.663178841037556</v>
      </c>
      <c r="G120" s="4">
        <v>36.927705928120083</v>
      </c>
      <c r="H120" s="4">
        <v>34.973837773661906</v>
      </c>
      <c r="I120" s="4">
        <v>35.462250434412624</v>
      </c>
      <c r="J120" s="4">
        <v>24.562930863020288</v>
      </c>
      <c r="K120" s="4">
        <v>19</v>
      </c>
      <c r="L120" s="4" t="s">
        <v>131</v>
      </c>
      <c r="M120" s="4" t="s">
        <v>131</v>
      </c>
      <c r="N120" s="4" t="s">
        <v>31</v>
      </c>
      <c r="O120" s="4" t="s">
        <v>207</v>
      </c>
      <c r="P120" s="4">
        <v>14</v>
      </c>
      <c r="Q120" s="4" t="s">
        <v>123</v>
      </c>
      <c r="R120" s="4">
        <v>83.837294117647062</v>
      </c>
      <c r="S120" s="4">
        <v>1.0804705882352938</v>
      </c>
      <c r="T120" s="2">
        <f>76.94-74.2</f>
        <v>2.7399999999999949</v>
      </c>
      <c r="U120" s="4">
        <v>1.4946923076923078</v>
      </c>
      <c r="V120" s="4">
        <v>1.0620000000000001</v>
      </c>
      <c r="W120" s="4">
        <v>1.49</v>
      </c>
      <c r="X120" s="4">
        <v>14.662000000000001</v>
      </c>
      <c r="Y120" s="4">
        <v>3.73</v>
      </c>
      <c r="Z120" s="4">
        <v>12.28</v>
      </c>
      <c r="AA120" s="4">
        <v>63.226923076923079</v>
      </c>
      <c r="AB120" s="4">
        <v>83.718000000000004</v>
      </c>
      <c r="AC120" s="4">
        <v>62.421999999999997</v>
      </c>
      <c r="AD120" s="4">
        <f>76.4-73.8</f>
        <v>2.6000000000000085</v>
      </c>
      <c r="AE120" s="4">
        <f>(395-240)/2</f>
        <v>77.5</v>
      </c>
      <c r="AF120" s="4">
        <v>0</v>
      </c>
      <c r="AG120" s="4">
        <v>0.4</v>
      </c>
      <c r="AH120" s="4">
        <v>40</v>
      </c>
      <c r="AI120" s="4">
        <v>1.27911E-2</v>
      </c>
      <c r="AJ120" s="4">
        <f t="shared" si="5"/>
        <v>319.77749999999997</v>
      </c>
      <c r="AK120" s="4">
        <v>2.4</v>
      </c>
      <c r="AL120" s="4" t="s">
        <v>115</v>
      </c>
      <c r="AM120" s="2" t="s">
        <v>144</v>
      </c>
      <c r="AN120" s="4" t="s">
        <v>188</v>
      </c>
      <c r="AO120" s="4" t="s">
        <v>212</v>
      </c>
    </row>
    <row r="121" spans="1:41" x14ac:dyDescent="0.35">
      <c r="A121" s="4" t="s">
        <v>188</v>
      </c>
      <c r="B121" s="4" t="s">
        <v>149</v>
      </c>
      <c r="C121" s="4">
        <v>-73.5</v>
      </c>
      <c r="D121" s="4">
        <v>48.5</v>
      </c>
      <c r="E121" s="4">
        <v>110.75423634954042</v>
      </c>
      <c r="F121" s="4">
        <v>152.11156351197087</v>
      </c>
      <c r="G121" s="4">
        <v>47.570766662016112</v>
      </c>
      <c r="H121" s="4">
        <v>42.413352921822948</v>
      </c>
      <c r="I121" s="4">
        <v>44.183272213140249</v>
      </c>
      <c r="J121" s="4">
        <v>29.159293425220334</v>
      </c>
      <c r="K121" s="4">
        <v>26</v>
      </c>
      <c r="L121" s="4" t="s">
        <v>144</v>
      </c>
      <c r="M121" s="4" t="s">
        <v>132</v>
      </c>
      <c r="N121" s="4" t="s">
        <v>31</v>
      </c>
      <c r="O121" s="4" t="s">
        <v>207</v>
      </c>
      <c r="P121" s="4">
        <v>14</v>
      </c>
      <c r="Q121" s="4" t="s">
        <v>123</v>
      </c>
      <c r="R121" s="4">
        <v>77.756062500000013</v>
      </c>
      <c r="S121" s="4">
        <v>1.105</v>
      </c>
      <c r="T121" s="4">
        <f>76.51-74.07</f>
        <v>2.4400000000000119</v>
      </c>
      <c r="U121" s="4">
        <v>2.2578888888888891</v>
      </c>
      <c r="V121" s="4">
        <v>1.077</v>
      </c>
      <c r="W121" s="4">
        <v>2.2919999999999998</v>
      </c>
      <c r="X121" s="4">
        <v>10.191000000000001</v>
      </c>
      <c r="Y121" s="4">
        <v>6.7430000000000003</v>
      </c>
      <c r="Z121" s="4">
        <v>9.532</v>
      </c>
      <c r="AA121" s="4">
        <v>47.144000000000005</v>
      </c>
      <c r="AB121" s="4">
        <v>80.334000000000003</v>
      </c>
      <c r="AC121" s="4">
        <v>46.84</v>
      </c>
      <c r="AD121" s="4">
        <f>76.2-73.7</f>
        <v>2.5</v>
      </c>
      <c r="AE121" s="4">
        <f>(429-242)/2</f>
        <v>93.5</v>
      </c>
      <c r="AF121" s="4">
        <v>0</v>
      </c>
      <c r="AG121" s="4">
        <v>0.4</v>
      </c>
      <c r="AH121" s="4">
        <v>36</v>
      </c>
      <c r="AI121" s="4">
        <v>1.2526900000000001E-2</v>
      </c>
      <c r="AJ121" s="4">
        <f t="shared" si="5"/>
        <v>347.96944444444449</v>
      </c>
      <c r="AK121" s="4">
        <v>1.1200000000000001</v>
      </c>
      <c r="AL121" s="4" t="s">
        <v>115</v>
      </c>
      <c r="AM121" s="2" t="s">
        <v>144</v>
      </c>
      <c r="AN121" s="4" t="s">
        <v>188</v>
      </c>
      <c r="AO121" s="4" t="s">
        <v>212</v>
      </c>
    </row>
    <row r="122" spans="1:41" x14ac:dyDescent="0.35">
      <c r="A122" s="4" t="s">
        <v>189</v>
      </c>
      <c r="B122" s="4" t="s">
        <v>150</v>
      </c>
      <c r="C122" s="4">
        <v>-74.2</v>
      </c>
      <c r="D122" s="4">
        <v>48.9</v>
      </c>
      <c r="E122" s="4">
        <v>78.839482812992756</v>
      </c>
      <c r="F122" s="4">
        <v>69.388870412397239</v>
      </c>
      <c r="G122" s="4">
        <v>35.333900753182832</v>
      </c>
      <c r="H122" s="4">
        <v>49.050004328470486</v>
      </c>
      <c r="I122" s="4">
        <v>30.892801977139321</v>
      </c>
      <c r="J122" s="4">
        <v>42.837237443873256</v>
      </c>
      <c r="K122" s="4">
        <v>17</v>
      </c>
      <c r="L122" s="4" t="s">
        <v>131</v>
      </c>
      <c r="M122" s="4" t="s">
        <v>131</v>
      </c>
      <c r="N122" s="4" t="s">
        <v>31</v>
      </c>
      <c r="O122" s="4" t="s">
        <v>207</v>
      </c>
      <c r="P122" s="4">
        <v>15</v>
      </c>
      <c r="Q122" s="4" t="s">
        <v>123</v>
      </c>
      <c r="R122" s="4">
        <v>88.843249999999998</v>
      </c>
      <c r="S122" s="4">
        <v>1.074125</v>
      </c>
      <c r="T122" s="4">
        <v>9.8586666666666698</v>
      </c>
      <c r="U122" s="4">
        <v>1.3927</v>
      </c>
      <c r="V122" s="4">
        <v>1.385</v>
      </c>
      <c r="W122" s="4">
        <v>1.403</v>
      </c>
      <c r="X122" s="4">
        <v>15.9054</v>
      </c>
      <c r="Y122" s="4">
        <v>13.379</v>
      </c>
      <c r="Z122" s="4">
        <v>9.1449999999999996</v>
      </c>
      <c r="AA122" s="4">
        <v>72.155799999999999</v>
      </c>
      <c r="AB122" s="4">
        <v>86.290999999999997</v>
      </c>
      <c r="AC122" s="4">
        <v>70.061999999999998</v>
      </c>
      <c r="AD122" s="4">
        <f>75.7-73.4</f>
        <v>2.2999999999999972</v>
      </c>
      <c r="AE122" s="4">
        <f>(399-239)/2</f>
        <v>80</v>
      </c>
      <c r="AF122" s="4">
        <v>0</v>
      </c>
      <c r="AG122" s="4">
        <v>0.2</v>
      </c>
      <c r="AH122" s="4">
        <v>73</v>
      </c>
      <c r="AI122" s="4">
        <v>2.5279099999999999E-2</v>
      </c>
      <c r="AJ122" s="4">
        <f t="shared" si="5"/>
        <v>346.28904109589041</v>
      </c>
      <c r="AK122" s="4">
        <v>1.35</v>
      </c>
      <c r="AL122" s="4" t="s">
        <v>115</v>
      </c>
      <c r="AM122" s="2" t="s">
        <v>144</v>
      </c>
      <c r="AN122" s="4" t="s">
        <v>189</v>
      </c>
      <c r="AO122" s="4" t="s">
        <v>211</v>
      </c>
    </row>
    <row r="123" spans="1:41" x14ac:dyDescent="0.35">
      <c r="A123" s="4" t="s">
        <v>189</v>
      </c>
      <c r="B123" s="4" t="s">
        <v>150</v>
      </c>
      <c r="C123" s="4">
        <v>-73.3</v>
      </c>
      <c r="D123" s="4">
        <v>49.3</v>
      </c>
      <c r="E123" s="4">
        <v>110.74197120708747</v>
      </c>
      <c r="F123" s="4">
        <v>242.87502229085092</v>
      </c>
      <c r="G123" s="4">
        <v>43.058587000259408</v>
      </c>
      <c r="H123" s="4">
        <v>78.1929145651917</v>
      </c>
      <c r="I123" s="4">
        <v>36.927621861152083</v>
      </c>
      <c r="J123" s="4">
        <v>59.630902906033818</v>
      </c>
      <c r="K123" s="4">
        <v>29</v>
      </c>
      <c r="L123" s="4" t="s">
        <v>144</v>
      </c>
      <c r="M123" s="4" t="s">
        <v>132</v>
      </c>
      <c r="N123" s="4" t="s">
        <v>31</v>
      </c>
      <c r="O123" s="4" t="s">
        <v>207</v>
      </c>
      <c r="P123" s="4">
        <v>15</v>
      </c>
      <c r="Q123" s="4" t="s">
        <v>123</v>
      </c>
      <c r="R123" s="4">
        <v>80.68183333333333</v>
      </c>
      <c r="S123" s="4">
        <v>1.1045</v>
      </c>
      <c r="T123" s="4">
        <v>2.9846666666666701</v>
      </c>
      <c r="U123" s="4">
        <v>3.6425555555555555</v>
      </c>
      <c r="V123" s="4">
        <v>2.5939999999999999</v>
      </c>
      <c r="W123" s="4">
        <v>3.5720000000000001</v>
      </c>
      <c r="X123" s="4">
        <v>12.9254444444444</v>
      </c>
      <c r="Y123" s="4">
        <v>2.919</v>
      </c>
      <c r="Z123" s="4">
        <v>11.012</v>
      </c>
      <c r="AA123" s="4">
        <v>34.964611111111118</v>
      </c>
      <c r="AB123" s="4">
        <v>82.614000000000004</v>
      </c>
      <c r="AC123" s="4">
        <v>33.098999999999997</v>
      </c>
      <c r="AD123" s="4">
        <f>75.5-73.2</f>
        <v>2.2999999999999972</v>
      </c>
      <c r="AE123" s="4">
        <f>(452-266)/2</f>
        <v>93</v>
      </c>
      <c r="AF123" s="4">
        <v>0</v>
      </c>
      <c r="AG123" s="4">
        <v>0.25</v>
      </c>
      <c r="AH123" s="4">
        <v>66</v>
      </c>
      <c r="AI123" s="4">
        <v>2.7393799999999999E-2</v>
      </c>
      <c r="AJ123" s="4">
        <f t="shared" si="5"/>
        <v>415.05757575757576</v>
      </c>
      <c r="AK123" s="4">
        <v>0.9</v>
      </c>
      <c r="AL123" s="4" t="s">
        <v>115</v>
      </c>
      <c r="AM123" s="2" t="s">
        <v>144</v>
      </c>
      <c r="AN123" s="4" t="s">
        <v>189</v>
      </c>
      <c r="AO123" s="4" t="s">
        <v>211</v>
      </c>
    </row>
    <row r="124" spans="1:41" x14ac:dyDescent="0.35">
      <c r="A124" s="4" t="s">
        <v>189</v>
      </c>
      <c r="B124" s="4" t="s">
        <v>151</v>
      </c>
      <c r="C124" s="4">
        <v>-76.400000000000006</v>
      </c>
      <c r="D124" s="4">
        <v>49.7</v>
      </c>
      <c r="E124" s="4">
        <v>141.08352144469538</v>
      </c>
      <c r="F124" s="4">
        <v>134.64222325927722</v>
      </c>
      <c r="G124" s="4">
        <v>54.619544642635979</v>
      </c>
      <c r="H124" s="4">
        <v>44.682184661266703</v>
      </c>
      <c r="I124" s="4">
        <v>40.94501085042787</v>
      </c>
      <c r="J124" s="4">
        <v>38.064786266225177</v>
      </c>
      <c r="K124" s="4">
        <v>22</v>
      </c>
      <c r="L124" s="4" t="s">
        <v>131</v>
      </c>
      <c r="M124" s="4" t="s">
        <v>131</v>
      </c>
      <c r="N124" s="4" t="s">
        <v>31</v>
      </c>
      <c r="O124" s="4" t="s">
        <v>207</v>
      </c>
      <c r="P124" s="4">
        <v>15</v>
      </c>
      <c r="Q124" s="4" t="s">
        <v>123</v>
      </c>
      <c r="R124" s="4">
        <v>76.005500000000012</v>
      </c>
      <c r="S124" s="4">
        <v>1.141375</v>
      </c>
      <c r="T124" s="4">
        <v>7.7568571428571396</v>
      </c>
      <c r="U124" s="4">
        <v>2.294</v>
      </c>
      <c r="V124" s="4">
        <v>1.1619999999999999</v>
      </c>
      <c r="W124" s="4">
        <v>2.42</v>
      </c>
      <c r="X124" s="4">
        <v>11.466799999999999</v>
      </c>
      <c r="Y124" s="4">
        <v>3.7629999999999999</v>
      </c>
      <c r="Z124" s="4">
        <v>11.707000000000001</v>
      </c>
      <c r="AA124" s="4">
        <v>59.603400000000001</v>
      </c>
      <c r="AB124" s="4">
        <v>75.415999999999997</v>
      </c>
      <c r="AC124" s="4">
        <v>57.624000000000002</v>
      </c>
      <c r="AD124" s="4">
        <f>75.7-74.2</f>
        <v>1.5</v>
      </c>
      <c r="AE124" s="4">
        <f>(411-264)/2</f>
        <v>73.5</v>
      </c>
      <c r="AF124" s="4">
        <v>0</v>
      </c>
      <c r="AG124" s="4">
        <v>0.25</v>
      </c>
      <c r="AH124" s="4">
        <v>87</v>
      </c>
      <c r="AI124" s="4">
        <v>2.48296E-2</v>
      </c>
      <c r="AJ124" s="4">
        <f t="shared" si="5"/>
        <v>285.3977011494253</v>
      </c>
      <c r="AK124" s="4">
        <v>1.65</v>
      </c>
      <c r="AL124" s="4" t="s">
        <v>115</v>
      </c>
      <c r="AM124" s="2" t="s">
        <v>144</v>
      </c>
      <c r="AN124" s="4" t="s">
        <v>189</v>
      </c>
      <c r="AO124" s="4" t="s">
        <v>211</v>
      </c>
    </row>
    <row r="125" spans="1:41" x14ac:dyDescent="0.35">
      <c r="A125" s="4" t="s">
        <v>189</v>
      </c>
      <c r="B125" s="4" t="s">
        <v>151</v>
      </c>
      <c r="C125" s="4">
        <v>-75.2</v>
      </c>
      <c r="D125" s="4">
        <v>50.1</v>
      </c>
      <c r="E125" s="4">
        <v>123.67054167697279</v>
      </c>
      <c r="F125" s="4">
        <v>144.16130683303314</v>
      </c>
      <c r="G125" s="4">
        <v>53.573310565490438</v>
      </c>
      <c r="H125" s="4">
        <v>55.352090865737402</v>
      </c>
      <c r="I125" s="4">
        <v>34.810065251311279</v>
      </c>
      <c r="J125" s="4">
        <v>30.147192458630002</v>
      </c>
      <c r="K125" s="4">
        <v>21</v>
      </c>
      <c r="L125" s="4" t="s">
        <v>144</v>
      </c>
      <c r="M125" s="4" t="s">
        <v>132</v>
      </c>
      <c r="N125" s="4" t="s">
        <v>31</v>
      </c>
      <c r="O125" s="4" t="s">
        <v>207</v>
      </c>
      <c r="P125" s="4">
        <v>15</v>
      </c>
      <c r="Q125" s="4" t="s">
        <v>123</v>
      </c>
      <c r="R125" s="4">
        <v>74.731111111111105</v>
      </c>
      <c r="S125" s="4">
        <v>1.2125000000000001</v>
      </c>
      <c r="T125" s="4">
        <v>6.3616923076923104</v>
      </c>
      <c r="U125" s="4">
        <v>2.5205000000000002</v>
      </c>
      <c r="V125" s="4">
        <v>1.137</v>
      </c>
      <c r="W125" s="4">
        <v>2.5569999999999999</v>
      </c>
      <c r="X125" s="4">
        <v>10.68975</v>
      </c>
      <c r="Y125" s="4">
        <v>3.3279999999999998</v>
      </c>
      <c r="Z125" s="4">
        <v>8.2219999999999995</v>
      </c>
      <c r="AA125" s="4">
        <v>54.409875000000007</v>
      </c>
      <c r="AB125" s="4">
        <v>75.031999999999996</v>
      </c>
      <c r="AC125" s="4">
        <v>51.884</v>
      </c>
      <c r="AD125" s="4">
        <f>76.9-75.6</f>
        <v>1.3000000000000114</v>
      </c>
      <c r="AE125" s="4">
        <f>(410-270)/2</f>
        <v>70</v>
      </c>
      <c r="AF125" s="4">
        <v>0</v>
      </c>
      <c r="AG125" s="4">
        <v>0.25</v>
      </c>
      <c r="AH125" s="4">
        <v>65</v>
      </c>
      <c r="AI125" s="4">
        <v>2.48121E-2</v>
      </c>
      <c r="AJ125" s="4">
        <f t="shared" si="5"/>
        <v>381.72461538461539</v>
      </c>
      <c r="AK125" s="4">
        <v>1.2</v>
      </c>
      <c r="AL125" s="4" t="s">
        <v>115</v>
      </c>
      <c r="AM125" s="2" t="s">
        <v>144</v>
      </c>
      <c r="AN125" s="4" t="s">
        <v>189</v>
      </c>
      <c r="AO125" s="4" t="s">
        <v>211</v>
      </c>
    </row>
    <row r="126" spans="1:41" x14ac:dyDescent="0.35">
      <c r="A126" s="4" t="s">
        <v>189</v>
      </c>
      <c r="B126" s="4" t="s">
        <v>152</v>
      </c>
      <c r="C126" s="4">
        <v>-75.2</v>
      </c>
      <c r="D126" s="4">
        <v>50.5</v>
      </c>
      <c r="E126" s="4">
        <v>127.71392081736889</v>
      </c>
      <c r="F126" s="4">
        <v>136.10764841097631</v>
      </c>
      <c r="G126" s="4">
        <v>45.76357708720051</v>
      </c>
      <c r="H126" s="4">
        <v>51.42051963986794</v>
      </c>
      <c r="I126" s="4">
        <v>70.293828201883883</v>
      </c>
      <c r="J126" s="4">
        <v>41.564804244414503</v>
      </c>
      <c r="K126" s="4">
        <v>23</v>
      </c>
      <c r="L126" s="4" t="s">
        <v>131</v>
      </c>
      <c r="M126" s="4" t="s">
        <v>131</v>
      </c>
      <c r="N126" s="4" t="s">
        <v>31</v>
      </c>
      <c r="O126" s="4" t="s">
        <v>207</v>
      </c>
      <c r="P126" s="4">
        <v>15</v>
      </c>
      <c r="Q126" s="4" t="s">
        <v>123</v>
      </c>
      <c r="R126" s="4">
        <v>80.031000000000006</v>
      </c>
      <c r="S126" s="4">
        <v>0.96349999999999991</v>
      </c>
      <c r="T126" s="4">
        <v>10.810499999999999</v>
      </c>
      <c r="U126" s="4">
        <v>1.9195714285714283</v>
      </c>
      <c r="V126" s="4">
        <v>0.93400000000000005</v>
      </c>
      <c r="W126" s="4">
        <v>2.0859999999999999</v>
      </c>
      <c r="X126" s="4">
        <v>18.5457142857143</v>
      </c>
      <c r="Y126" s="4">
        <v>7.5229999999999997</v>
      </c>
      <c r="Z126" s="4">
        <v>16.478999999999999</v>
      </c>
      <c r="AA126" s="4">
        <v>63.681357142857152</v>
      </c>
      <c r="AB126" s="4">
        <v>80.966999999999999</v>
      </c>
      <c r="AC126" s="4">
        <v>60.728999999999999</v>
      </c>
      <c r="AD126" s="4">
        <f>76.1-74.4</f>
        <v>1.6999999999999886</v>
      </c>
      <c r="AE126" s="4">
        <f>(518-251)/2</f>
        <v>133.5</v>
      </c>
      <c r="AF126" s="4">
        <v>0</v>
      </c>
      <c r="AG126" s="4">
        <v>0.4</v>
      </c>
      <c r="AH126" s="4">
        <v>51</v>
      </c>
      <c r="AI126" s="4">
        <v>1.3643000000000001E-2</v>
      </c>
      <c r="AJ126" s="4">
        <f t="shared" si="5"/>
        <v>267.50980392156862</v>
      </c>
      <c r="AK126" s="4">
        <v>2</v>
      </c>
      <c r="AL126" s="4" t="s">
        <v>115</v>
      </c>
      <c r="AM126" s="2" t="s">
        <v>144</v>
      </c>
      <c r="AN126" s="4" t="s">
        <v>189</v>
      </c>
      <c r="AO126" s="4" t="s">
        <v>211</v>
      </c>
    </row>
    <row r="127" spans="1:41" x14ac:dyDescent="0.35">
      <c r="A127" s="4" t="s">
        <v>189</v>
      </c>
      <c r="B127" s="4" t="s">
        <v>152</v>
      </c>
      <c r="C127" s="4">
        <v>-78</v>
      </c>
      <c r="D127" s="4">
        <v>50.9</v>
      </c>
      <c r="E127" s="4">
        <v>137.34377145996419</v>
      </c>
      <c r="F127" s="4">
        <v>172.53053998929173</v>
      </c>
      <c r="G127" s="4">
        <v>51.033121555686009</v>
      </c>
      <c r="H127" s="4">
        <v>60.630193589148391</v>
      </c>
      <c r="I127" s="4">
        <v>41.19973632168746</v>
      </c>
      <c r="J127" s="4">
        <v>48.199163083767353</v>
      </c>
      <c r="K127" s="4">
        <v>26</v>
      </c>
      <c r="L127" s="4" t="s">
        <v>144</v>
      </c>
      <c r="M127" s="4" t="s">
        <v>132</v>
      </c>
      <c r="N127" s="4" t="s">
        <v>31</v>
      </c>
      <c r="O127" s="4" t="s">
        <v>207</v>
      </c>
      <c r="P127" s="4">
        <v>15</v>
      </c>
      <c r="Q127" s="4" t="s">
        <v>123</v>
      </c>
      <c r="R127" s="4">
        <v>63.944499999999991</v>
      </c>
      <c r="S127" s="4">
        <v>1.237625</v>
      </c>
      <c r="T127" s="4">
        <v>6.7528750000000004</v>
      </c>
      <c r="U127" s="4">
        <v>3.0435555555555558</v>
      </c>
      <c r="V127" s="4">
        <v>1.3009999999999999</v>
      </c>
      <c r="W127" s="4">
        <v>3.165</v>
      </c>
      <c r="X127" s="4">
        <v>12.630555555555601</v>
      </c>
      <c r="Y127" s="4">
        <v>2.7810000000000001</v>
      </c>
      <c r="Z127" s="4">
        <v>10.519</v>
      </c>
      <c r="AA127" s="4">
        <v>43.576111111111111</v>
      </c>
      <c r="AB127" s="4">
        <v>56.25</v>
      </c>
      <c r="AC127" s="4">
        <v>42.886000000000003</v>
      </c>
      <c r="AD127" s="4">
        <f>77.2-75.6</f>
        <v>1.6000000000000085</v>
      </c>
      <c r="AE127" s="4">
        <f>(386-253)/2</f>
        <v>66.5</v>
      </c>
      <c r="AF127" s="4">
        <v>0</v>
      </c>
      <c r="AG127" s="4">
        <v>0.3</v>
      </c>
      <c r="AH127" s="4">
        <v>67</v>
      </c>
      <c r="AI127" s="4">
        <v>1.6347899999999999E-2</v>
      </c>
      <c r="AJ127" s="4">
        <f t="shared" si="5"/>
        <v>243.99850746268655</v>
      </c>
      <c r="AK127" s="4">
        <v>1.5</v>
      </c>
      <c r="AL127" s="4" t="s">
        <v>115</v>
      </c>
      <c r="AM127" s="2" t="s">
        <v>144</v>
      </c>
      <c r="AN127" s="4" t="s">
        <v>189</v>
      </c>
      <c r="AO127" s="4" t="s">
        <v>211</v>
      </c>
    </row>
    <row r="128" spans="1:41" x14ac:dyDescent="0.35">
      <c r="A128" s="2" t="s">
        <v>190</v>
      </c>
      <c r="B128" s="2" t="s">
        <v>37</v>
      </c>
      <c r="C128" s="2">
        <v>-66.8</v>
      </c>
      <c r="D128" s="2">
        <v>51.3</v>
      </c>
      <c r="E128" s="2">
        <v>193.94879751745518</v>
      </c>
      <c r="F128" s="2">
        <v>53.356173551714178</v>
      </c>
      <c r="G128" s="2">
        <v>74.708854102696606</v>
      </c>
      <c r="H128" s="2">
        <v>17.784285778064355</v>
      </c>
      <c r="I128" s="2">
        <v>47.270148900969097</v>
      </c>
      <c r="J128" s="2">
        <v>11.830863982735691</v>
      </c>
      <c r="K128" s="2">
        <v>34</v>
      </c>
      <c r="L128" s="2" t="s">
        <v>131</v>
      </c>
      <c r="M128" s="2" t="s">
        <v>131</v>
      </c>
      <c r="N128" s="2" t="s">
        <v>209</v>
      </c>
      <c r="O128" s="2" t="s">
        <v>126</v>
      </c>
      <c r="P128" s="2">
        <v>14</v>
      </c>
      <c r="Q128" s="2" t="s">
        <v>123</v>
      </c>
      <c r="R128" s="2">
        <v>74.610470588235302</v>
      </c>
      <c r="S128" s="2">
        <v>0.64841176470588258</v>
      </c>
      <c r="T128" s="2">
        <v>12.4326470588235</v>
      </c>
      <c r="U128" s="2">
        <v>0.91203448275862076</v>
      </c>
      <c r="V128" s="2">
        <v>0.64100000000000001</v>
      </c>
      <c r="W128" s="2">
        <v>0.90600000000000003</v>
      </c>
      <c r="X128" s="2">
        <v>12.534000000000001</v>
      </c>
      <c r="Y128" s="2">
        <v>10.685</v>
      </c>
      <c r="Z128" s="2">
        <v>12.638</v>
      </c>
      <c r="AA128" s="2">
        <v>54.369344827586197</v>
      </c>
      <c r="AB128" s="2">
        <v>72.242999999999995</v>
      </c>
      <c r="AC128" s="2">
        <v>54.456000000000003</v>
      </c>
      <c r="AD128" s="2">
        <f>70.8-68.4</f>
        <v>2.3999999999999915</v>
      </c>
      <c r="AE128" s="2">
        <f>(376-229)/2</f>
        <v>73.5</v>
      </c>
      <c r="AF128" s="2">
        <v>0</v>
      </c>
      <c r="AG128" s="2">
        <v>2.6</v>
      </c>
      <c r="AH128" s="2">
        <v>10.7</v>
      </c>
      <c r="AI128" s="2">
        <v>7.4884900000000004E-3</v>
      </c>
      <c r="AJ128" s="2">
        <f t="shared" si="5"/>
        <v>699.85887850467304</v>
      </c>
      <c r="AL128" s="2" t="s">
        <v>116</v>
      </c>
      <c r="AM128" s="2" t="s">
        <v>82</v>
      </c>
      <c r="AN128" s="2" t="s">
        <v>190</v>
      </c>
      <c r="AO128" s="4" t="s">
        <v>212</v>
      </c>
    </row>
    <row r="129" spans="1:41" x14ac:dyDescent="0.35">
      <c r="A129" s="2" t="s">
        <v>190</v>
      </c>
      <c r="B129" s="2" t="s">
        <v>37</v>
      </c>
      <c r="C129" s="2">
        <v>-67.5</v>
      </c>
      <c r="D129" s="2">
        <v>51.7</v>
      </c>
      <c r="E129" s="2">
        <v>183.85732671446982</v>
      </c>
      <c r="F129" s="2">
        <v>56.270103632169082</v>
      </c>
      <c r="G129" s="2">
        <v>71.718336156887744</v>
      </c>
      <c r="H129" s="2">
        <v>18.770515813647567</v>
      </c>
      <c r="I129" s="2">
        <v>56.462085709446065</v>
      </c>
      <c r="J129" s="2">
        <v>12.996112870988307</v>
      </c>
      <c r="K129" s="2">
        <v>33</v>
      </c>
      <c r="L129" s="2" t="s">
        <v>82</v>
      </c>
      <c r="M129" s="2" t="s">
        <v>132</v>
      </c>
      <c r="N129" s="2" t="s">
        <v>209</v>
      </c>
      <c r="O129" s="2" t="s">
        <v>126</v>
      </c>
      <c r="P129" s="2">
        <v>14</v>
      </c>
      <c r="Q129" s="2" t="s">
        <v>123</v>
      </c>
      <c r="R129" s="2">
        <v>73.307769230769239</v>
      </c>
      <c r="S129" s="2">
        <v>0.65238461538461556</v>
      </c>
      <c r="T129" s="2">
        <v>12.332538461538499</v>
      </c>
      <c r="U129" s="2">
        <v>0.90242857142857125</v>
      </c>
      <c r="V129" s="2">
        <v>0.66800000000000004</v>
      </c>
      <c r="W129" s="2">
        <v>0.85</v>
      </c>
      <c r="X129" s="2">
        <v>12.279285714285701</v>
      </c>
      <c r="Y129" s="2">
        <v>9.1159999999999997</v>
      </c>
      <c r="Z129" s="2">
        <v>16.088999999999999</v>
      </c>
      <c r="AA129" s="2">
        <v>54.375892857142858</v>
      </c>
      <c r="AB129" s="2">
        <v>72.247</v>
      </c>
      <c r="AC129" s="2">
        <v>55.058999999999997</v>
      </c>
      <c r="AD129" s="2">
        <f>68.5-67.3</f>
        <v>1.2000000000000028</v>
      </c>
      <c r="AE129" s="2">
        <f>(347.9-235.2)/2</f>
        <v>56.349999999999994</v>
      </c>
      <c r="AF129" s="2">
        <v>0</v>
      </c>
      <c r="AG129" s="2">
        <v>3.2</v>
      </c>
      <c r="AH129" s="2">
        <v>12</v>
      </c>
      <c r="AI129" s="2">
        <v>6.9659800000000001E-3</v>
      </c>
      <c r="AJ129" s="2">
        <f t="shared" si="5"/>
        <v>580.49833333333333</v>
      </c>
      <c r="AL129" s="2" t="s">
        <v>116</v>
      </c>
      <c r="AM129" s="2" t="s">
        <v>82</v>
      </c>
      <c r="AN129" s="2" t="s">
        <v>190</v>
      </c>
      <c r="AO129" s="4" t="s">
        <v>212</v>
      </c>
    </row>
    <row r="130" spans="1:41" x14ac:dyDescent="0.35">
      <c r="A130" s="2" t="s">
        <v>191</v>
      </c>
      <c r="B130" s="2" t="s">
        <v>38</v>
      </c>
      <c r="C130" s="2">
        <v>-69</v>
      </c>
      <c r="D130" s="2">
        <v>52.1</v>
      </c>
      <c r="E130" s="2">
        <v>197.58940920766619</v>
      </c>
      <c r="F130" s="2">
        <v>51.308180673203971</v>
      </c>
      <c r="G130" s="2">
        <v>75.961877832385781</v>
      </c>
      <c r="H130" s="2">
        <v>17.437721617229489</v>
      </c>
      <c r="I130" s="2">
        <v>65.522212029877878</v>
      </c>
      <c r="J130" s="2">
        <v>14.617124879265122</v>
      </c>
      <c r="K130" s="2">
        <v>37</v>
      </c>
      <c r="L130" s="2" t="s">
        <v>131</v>
      </c>
      <c r="M130" s="2" t="s">
        <v>131</v>
      </c>
      <c r="N130" s="2" t="s">
        <v>209</v>
      </c>
      <c r="O130" s="2" t="s">
        <v>126</v>
      </c>
      <c r="P130" s="2">
        <v>15</v>
      </c>
      <c r="Q130" s="2" t="s">
        <v>123</v>
      </c>
      <c r="R130" s="2">
        <v>86.106214285714287</v>
      </c>
      <c r="S130" s="2">
        <v>0.71350000000000002</v>
      </c>
      <c r="T130" s="2">
        <v>8.6357142857142808</v>
      </c>
      <c r="U130" s="2">
        <v>0.92592592592592604</v>
      </c>
      <c r="V130" s="2">
        <v>0.72099999999999997</v>
      </c>
      <c r="W130" s="2">
        <v>0.89</v>
      </c>
      <c r="X130" s="2">
        <v>12.1129259259259</v>
      </c>
      <c r="Y130" s="2">
        <v>4.2610000000000001</v>
      </c>
      <c r="Z130" s="2">
        <v>14.295</v>
      </c>
      <c r="AA130" s="2">
        <v>61.155444444444448</v>
      </c>
      <c r="AB130" s="2">
        <v>85.728999999999999</v>
      </c>
      <c r="AC130" s="2">
        <v>60.844999999999999</v>
      </c>
      <c r="AD130" s="2">
        <f>72.5-70.3</f>
        <v>2.2000000000000028</v>
      </c>
      <c r="AE130" s="2">
        <f>(363.7-231)/2</f>
        <v>66.349999999999994</v>
      </c>
      <c r="AF130" s="2">
        <f>57.4-56.2</f>
        <v>1.1999999999999957</v>
      </c>
      <c r="AG130" s="2">
        <v>1.2</v>
      </c>
      <c r="AH130" s="2">
        <v>21.6</v>
      </c>
      <c r="AI130" s="2">
        <v>7.5615200000000004E-3</v>
      </c>
      <c r="AJ130" s="2">
        <f t="shared" ref="AJ130:AJ140" si="6">(AI130/AH130)*1000000</f>
        <v>350.07037037037037</v>
      </c>
      <c r="AK130" s="2">
        <v>3.6</v>
      </c>
      <c r="AL130" s="2" t="s">
        <v>116</v>
      </c>
      <c r="AM130" s="2" t="s">
        <v>82</v>
      </c>
      <c r="AN130" s="2" t="s">
        <v>191</v>
      </c>
      <c r="AO130" s="4" t="s">
        <v>211</v>
      </c>
    </row>
    <row r="131" spans="1:41" x14ac:dyDescent="0.35">
      <c r="A131" s="2" t="s">
        <v>191</v>
      </c>
      <c r="B131" s="2" t="s">
        <v>38</v>
      </c>
      <c r="C131" s="2">
        <v>-70.099999999999994</v>
      </c>
      <c r="D131" s="2">
        <v>52.5</v>
      </c>
      <c r="E131" s="2">
        <v>193.53590090961868</v>
      </c>
      <c r="F131" s="2">
        <v>50.339990477679308</v>
      </c>
      <c r="G131" s="2">
        <v>81.801774836979206</v>
      </c>
      <c r="H131" s="2">
        <v>19.201560184769587</v>
      </c>
      <c r="I131" s="2">
        <v>68.059620227319201</v>
      </c>
      <c r="J131" s="2">
        <v>15.549308391007042</v>
      </c>
      <c r="K131" s="2">
        <v>39</v>
      </c>
      <c r="L131" s="2" t="s">
        <v>82</v>
      </c>
      <c r="M131" s="2" t="s">
        <v>132</v>
      </c>
      <c r="N131" s="2" t="s">
        <v>209</v>
      </c>
      <c r="O131" s="2" t="s">
        <v>126</v>
      </c>
      <c r="P131" s="2">
        <v>15</v>
      </c>
      <c r="Q131" s="2" t="s">
        <v>123</v>
      </c>
      <c r="R131" s="2">
        <v>83.853363636363625</v>
      </c>
      <c r="S131" s="2">
        <v>0.73818181818181827</v>
      </c>
      <c r="T131" s="2">
        <v>8.3410909090909104</v>
      </c>
      <c r="U131" s="2">
        <v>0.91417241379310332</v>
      </c>
      <c r="V131" s="2">
        <v>0.73099999999999998</v>
      </c>
      <c r="W131" s="2">
        <v>0.93799999999999994</v>
      </c>
      <c r="X131" s="2">
        <v>11.468439999999999</v>
      </c>
      <c r="Y131" s="2">
        <v>5.3209999999999997</v>
      </c>
      <c r="Z131" s="2">
        <v>10.327999999999999</v>
      </c>
      <c r="AA131" s="2">
        <v>26</v>
      </c>
      <c r="AB131" s="2">
        <v>81.766999999999996</v>
      </c>
      <c r="AC131" s="2">
        <v>65.355000000000004</v>
      </c>
      <c r="AD131" s="2">
        <f>69.8-65.2</f>
        <v>4.5999999999999943</v>
      </c>
      <c r="AE131" s="2">
        <f>(403.1-231.9)/2</f>
        <v>85.600000000000009</v>
      </c>
      <c r="AF131" s="2">
        <f>54.9-53</f>
        <v>1.8999999999999986</v>
      </c>
      <c r="AG131" s="2">
        <v>1.3</v>
      </c>
      <c r="AH131" s="2">
        <v>34</v>
      </c>
      <c r="AI131" s="2">
        <v>7.6375100000000001E-3</v>
      </c>
      <c r="AJ131" s="2">
        <f t="shared" si="6"/>
        <v>224.63264705882355</v>
      </c>
      <c r="AK131" s="2">
        <v>3.5</v>
      </c>
      <c r="AL131" s="2" t="s">
        <v>116</v>
      </c>
      <c r="AM131" s="2" t="s">
        <v>82</v>
      </c>
      <c r="AN131" s="2" t="s">
        <v>191</v>
      </c>
      <c r="AO131" s="4" t="s">
        <v>211</v>
      </c>
    </row>
    <row r="132" spans="1:41" x14ac:dyDescent="0.35">
      <c r="A132" s="2" t="s">
        <v>191</v>
      </c>
      <c r="B132" s="2" t="s">
        <v>39</v>
      </c>
      <c r="C132" s="2">
        <v>-69.2</v>
      </c>
      <c r="D132" s="2">
        <v>52.9</v>
      </c>
      <c r="E132" s="2">
        <v>207.33982998133908</v>
      </c>
      <c r="F132" s="2">
        <v>61.622813026364192</v>
      </c>
      <c r="G132" s="2">
        <v>97.350058612996833</v>
      </c>
      <c r="H132" s="2">
        <v>27.779006638374621</v>
      </c>
      <c r="I132" s="2">
        <v>83.201597470671402</v>
      </c>
      <c r="J132" s="2">
        <v>22.701920833514862</v>
      </c>
      <c r="K132" s="2">
        <v>48</v>
      </c>
      <c r="L132" s="2" t="s">
        <v>131</v>
      </c>
      <c r="M132" s="2" t="s">
        <v>131</v>
      </c>
      <c r="N132" s="2" t="s">
        <v>209</v>
      </c>
      <c r="O132" s="2" t="s">
        <v>126</v>
      </c>
      <c r="P132" s="2">
        <v>15</v>
      </c>
      <c r="Q132" s="2" t="s">
        <v>123</v>
      </c>
      <c r="R132" s="2">
        <v>80.015636363636361</v>
      </c>
      <c r="S132" s="2">
        <v>0.69481818181818178</v>
      </c>
      <c r="T132" s="2">
        <v>12.877545454545499</v>
      </c>
      <c r="U132" s="2">
        <v>0.94516129032258056</v>
      </c>
      <c r="V132" s="2">
        <v>0.68400000000000005</v>
      </c>
      <c r="W132" s="2">
        <v>0.93200000000000005</v>
      </c>
      <c r="X132" s="2">
        <v>13.921064516129</v>
      </c>
      <c r="Y132" s="2">
        <v>9.8019999999999996</v>
      </c>
      <c r="Z132" s="2">
        <v>13.769</v>
      </c>
      <c r="AA132" s="2">
        <v>59.17190322580646</v>
      </c>
      <c r="AB132" s="2">
        <v>80.185000000000002</v>
      </c>
      <c r="AC132" s="2">
        <v>59.488999999999997</v>
      </c>
      <c r="AD132" s="2">
        <f>72.4-68</f>
        <v>4.4000000000000057</v>
      </c>
      <c r="AE132" s="2">
        <f>(397.7-229.8)/2</f>
        <v>83.949999999999989</v>
      </c>
      <c r="AF132" s="2">
        <f>61-59.5</f>
        <v>1.5</v>
      </c>
      <c r="AG132" s="2">
        <v>0.95</v>
      </c>
      <c r="AH132" s="2">
        <v>11</v>
      </c>
      <c r="AI132" s="2">
        <v>6.0028E-3</v>
      </c>
      <c r="AJ132" s="2">
        <f t="shared" si="6"/>
        <v>545.70909090909095</v>
      </c>
      <c r="AK132" s="2">
        <v>2.8</v>
      </c>
      <c r="AL132" s="2" t="s">
        <v>116</v>
      </c>
      <c r="AM132" s="2" t="s">
        <v>82</v>
      </c>
      <c r="AN132" s="2" t="s">
        <v>191</v>
      </c>
      <c r="AO132" s="4" t="s">
        <v>211</v>
      </c>
    </row>
    <row r="133" spans="1:41" x14ac:dyDescent="0.35">
      <c r="A133" s="2" t="s">
        <v>191</v>
      </c>
      <c r="B133" s="2" t="s">
        <v>39</v>
      </c>
      <c r="C133" s="2">
        <v>-69.3</v>
      </c>
      <c r="D133" s="2">
        <v>53.3</v>
      </c>
      <c r="E133" s="2">
        <v>196.03999215840034</v>
      </c>
      <c r="F133" s="2">
        <v>58.055329914696436</v>
      </c>
      <c r="G133" s="2">
        <v>97.311090312656049</v>
      </c>
      <c r="H133" s="2">
        <v>27.369622280173335</v>
      </c>
      <c r="I133" s="2">
        <v>78.290143270962034</v>
      </c>
      <c r="J133" s="2">
        <v>21.385304268326408</v>
      </c>
      <c r="K133" s="2">
        <v>47</v>
      </c>
      <c r="L133" s="2" t="s">
        <v>82</v>
      </c>
      <c r="M133" s="2" t="s">
        <v>132</v>
      </c>
      <c r="N133" s="2" t="s">
        <v>209</v>
      </c>
      <c r="O133" s="2" t="s">
        <v>126</v>
      </c>
      <c r="P133" s="2">
        <v>15</v>
      </c>
      <c r="Q133" s="2" t="s">
        <v>123</v>
      </c>
      <c r="R133" s="2">
        <v>76.134636363636361</v>
      </c>
      <c r="S133" s="2">
        <v>0.72072727272727266</v>
      </c>
      <c r="T133" s="2">
        <v>13.5335454545455</v>
      </c>
      <c r="U133" s="2">
        <v>1.0260909090909092</v>
      </c>
      <c r="V133" s="2">
        <v>0.71299999999999997</v>
      </c>
      <c r="W133" s="2">
        <v>1.0529999999999999</v>
      </c>
      <c r="X133" s="2">
        <v>12.7001515151515</v>
      </c>
      <c r="Y133" s="2">
        <v>11.757999999999999</v>
      </c>
      <c r="Z133" s="2">
        <v>12.041</v>
      </c>
      <c r="AA133" s="2">
        <v>54.174909090909097</v>
      </c>
      <c r="AB133" s="2">
        <v>73.204999999999998</v>
      </c>
      <c r="AC133" s="2">
        <v>55.447000000000003</v>
      </c>
      <c r="AD133" s="2">
        <f>72.06-68.1</f>
        <v>3.960000000000008</v>
      </c>
      <c r="AE133" s="2">
        <f>(375.2-231.9)/2</f>
        <v>71.649999999999991</v>
      </c>
      <c r="AF133" s="2">
        <f>60.2-58.8</f>
        <v>1.4000000000000057</v>
      </c>
      <c r="AG133" s="2">
        <v>1.2</v>
      </c>
      <c r="AH133" s="2">
        <v>24</v>
      </c>
      <c r="AI133" s="2">
        <v>5.12519E-3</v>
      </c>
      <c r="AJ133" s="2">
        <f t="shared" si="6"/>
        <v>213.54958333333332</v>
      </c>
      <c r="AK133" s="2">
        <v>2.7</v>
      </c>
      <c r="AL133" s="2" t="s">
        <v>116</v>
      </c>
      <c r="AM133" s="2" t="s">
        <v>82</v>
      </c>
      <c r="AN133" s="2" t="s">
        <v>191</v>
      </c>
      <c r="AO133" s="4" t="s">
        <v>211</v>
      </c>
    </row>
    <row r="134" spans="1:41" x14ac:dyDescent="0.35">
      <c r="A134" s="2" t="s">
        <v>191</v>
      </c>
      <c r="B134" s="2" t="s">
        <v>40</v>
      </c>
      <c r="C134" s="2">
        <v>-69.900000000000006</v>
      </c>
      <c r="D134" s="2">
        <v>53.7</v>
      </c>
      <c r="E134" s="2">
        <v>149.79029358897506</v>
      </c>
      <c r="F134" s="2">
        <v>38.932461485025719</v>
      </c>
      <c r="G134" s="2">
        <v>48.565437375117497</v>
      </c>
      <c r="H134" s="2">
        <v>11.356867948319879</v>
      </c>
      <c r="I134" s="2">
        <v>41.684035014589398</v>
      </c>
      <c r="J134" s="2">
        <v>9.2212086808408475</v>
      </c>
      <c r="K134" s="2">
        <v>23</v>
      </c>
      <c r="L134" s="2" t="s">
        <v>131</v>
      </c>
      <c r="M134" s="2" t="s">
        <v>131</v>
      </c>
      <c r="N134" s="2" t="s">
        <v>209</v>
      </c>
      <c r="O134" s="2" t="s">
        <v>126</v>
      </c>
      <c r="P134" s="2">
        <v>15</v>
      </c>
      <c r="Q134" s="2" t="s">
        <v>123</v>
      </c>
      <c r="R134" s="2">
        <v>71.662785714285718</v>
      </c>
      <c r="S134" s="2">
        <v>0.7092857142857143</v>
      </c>
      <c r="T134" s="2">
        <v>13.5516428571429</v>
      </c>
      <c r="U134" s="2">
        <v>0.88273333333333315</v>
      </c>
      <c r="V134" s="2">
        <v>0.73</v>
      </c>
      <c r="W134" s="2">
        <v>0.85399999999999998</v>
      </c>
      <c r="X134" s="2">
        <v>19.4277333333333</v>
      </c>
      <c r="Y134" s="2">
        <v>8.9489999999999998</v>
      </c>
      <c r="Z134" s="2">
        <v>19.806000000000001</v>
      </c>
      <c r="AA134" s="2">
        <v>53.086000000000006</v>
      </c>
      <c r="AB134" s="2">
        <v>75.856999999999999</v>
      </c>
      <c r="AC134" s="2">
        <v>51.445</v>
      </c>
      <c r="AD134" s="2">
        <f>73.8-69.1</f>
        <v>4.7000000000000028</v>
      </c>
      <c r="AE134" s="2">
        <f>(389.5-228.6)/2</f>
        <v>80.45</v>
      </c>
      <c r="AF134" s="2">
        <f>54.9-54.26</f>
        <v>0.64000000000000057</v>
      </c>
      <c r="AG134" s="2">
        <v>2</v>
      </c>
      <c r="AH134" s="2">
        <v>15.3</v>
      </c>
      <c r="AI134" s="2">
        <v>8.8136900000000008E-3</v>
      </c>
      <c r="AJ134" s="2">
        <f t="shared" si="6"/>
        <v>576.05816993464055</v>
      </c>
      <c r="AK134" s="2">
        <v>3.6</v>
      </c>
      <c r="AL134" s="2" t="s">
        <v>116</v>
      </c>
      <c r="AM134" s="2" t="s">
        <v>82</v>
      </c>
      <c r="AN134" s="2" t="s">
        <v>191</v>
      </c>
      <c r="AO134" s="4" t="s">
        <v>211</v>
      </c>
    </row>
    <row r="135" spans="1:41" x14ac:dyDescent="0.35">
      <c r="A135" s="2" t="s">
        <v>191</v>
      </c>
      <c r="B135" s="2" t="s">
        <v>40</v>
      </c>
      <c r="C135" s="2">
        <v>-69.900000000000006</v>
      </c>
      <c r="D135" s="2">
        <v>54.1</v>
      </c>
      <c r="E135" s="2">
        <v>115.7809424568716</v>
      </c>
      <c r="F135" s="2">
        <v>33.487625447411517</v>
      </c>
      <c r="G135" s="2">
        <v>42.896783440252023</v>
      </c>
      <c r="H135" s="2">
        <v>10.594677700332138</v>
      </c>
      <c r="I135" s="2">
        <v>37.656273535170904</v>
      </c>
      <c r="J135" s="2">
        <v>8.7336932630093553</v>
      </c>
      <c r="K135" s="2">
        <v>20</v>
      </c>
      <c r="L135" s="2" t="s">
        <v>82</v>
      </c>
      <c r="M135" s="2" t="s">
        <v>132</v>
      </c>
      <c r="N135" s="2" t="s">
        <v>209</v>
      </c>
      <c r="O135" s="2" t="s">
        <v>126</v>
      </c>
      <c r="P135" s="2">
        <v>15</v>
      </c>
      <c r="Q135" s="2" t="s">
        <v>123</v>
      </c>
      <c r="R135" s="2">
        <v>65.815214285714291</v>
      </c>
      <c r="S135" s="2">
        <v>0.7540714285714285</v>
      </c>
      <c r="T135" s="2">
        <v>14.3509285714286</v>
      </c>
      <c r="U135" s="2">
        <v>0.95940000000000014</v>
      </c>
      <c r="V135" s="2">
        <v>0.747</v>
      </c>
      <c r="W135" s="2">
        <v>0.92800000000000005</v>
      </c>
      <c r="X135" s="2">
        <v>17.258133333333301</v>
      </c>
      <c r="Y135" s="2">
        <v>10.853</v>
      </c>
      <c r="Z135" s="2">
        <v>16.849</v>
      </c>
      <c r="AA135" s="2">
        <v>47.552533333333336</v>
      </c>
      <c r="AB135" s="2">
        <v>68.814999999999998</v>
      </c>
      <c r="AC135" s="2">
        <v>49.698999999999998</v>
      </c>
      <c r="AD135" s="2">
        <f>73.2-69.3</f>
        <v>3.9000000000000057</v>
      </c>
      <c r="AE135" s="2">
        <f>(367-230)/2</f>
        <v>68.5</v>
      </c>
      <c r="AF135" s="2">
        <v>0</v>
      </c>
      <c r="AG135" s="2">
        <v>2.1</v>
      </c>
      <c r="AH135" s="2">
        <v>8</v>
      </c>
      <c r="AI135" s="2">
        <v>7.0900900000000003E-3</v>
      </c>
      <c r="AJ135" s="2">
        <f t="shared" si="6"/>
        <v>886.26125000000002</v>
      </c>
      <c r="AK135" s="2">
        <v>3.6</v>
      </c>
      <c r="AL135" s="2" t="s">
        <v>116</v>
      </c>
      <c r="AM135" s="2" t="s">
        <v>82</v>
      </c>
      <c r="AN135" s="2" t="s">
        <v>191</v>
      </c>
      <c r="AO135" s="4" t="s">
        <v>211</v>
      </c>
    </row>
    <row r="136" spans="1:41" x14ac:dyDescent="0.35">
      <c r="A136" s="2" t="s">
        <v>163</v>
      </c>
      <c r="B136" s="2" t="s">
        <v>41</v>
      </c>
      <c r="C136" s="2">
        <v>-69</v>
      </c>
      <c r="D136" s="2">
        <v>54.5</v>
      </c>
      <c r="E136" s="2">
        <v>264.27061310782102</v>
      </c>
      <c r="F136" s="2">
        <v>35.416376465605182</v>
      </c>
      <c r="G136" s="2">
        <v>104.43661191393639</v>
      </c>
      <c r="H136" s="2">
        <v>11.524743582209492</v>
      </c>
      <c r="I136" s="2">
        <v>89.686098654708701</v>
      </c>
      <c r="J136" s="2">
        <v>9.3683620503442775</v>
      </c>
      <c r="K136" s="2">
        <v>50</v>
      </c>
      <c r="L136" s="2" t="s">
        <v>131</v>
      </c>
      <c r="M136" s="2" t="s">
        <v>131</v>
      </c>
      <c r="N136" s="2" t="s">
        <v>31</v>
      </c>
      <c r="O136" s="2" t="s">
        <v>127</v>
      </c>
      <c r="P136" s="2">
        <v>16</v>
      </c>
      <c r="Q136" s="2" t="s">
        <v>123</v>
      </c>
      <c r="R136" s="2">
        <v>83.156062500000004</v>
      </c>
      <c r="S136" s="2">
        <v>0.51831250000000006</v>
      </c>
      <c r="T136" s="2">
        <v>17.978750000000002</v>
      </c>
      <c r="U136" s="2">
        <v>0.68886111111111104</v>
      </c>
      <c r="V136" s="2">
        <v>0.48099999999999998</v>
      </c>
      <c r="W136" s="2">
        <v>0.57699999999999996</v>
      </c>
      <c r="X136" s="2">
        <v>19.861694444444399</v>
      </c>
      <c r="Y136" s="2">
        <v>16.268000000000001</v>
      </c>
      <c r="Z136" s="2">
        <v>19.300999999999998</v>
      </c>
      <c r="AA136" s="2">
        <v>66.201388888888872</v>
      </c>
      <c r="AB136" s="2">
        <v>82.677000000000007</v>
      </c>
      <c r="AC136" s="2">
        <v>67.456999999999994</v>
      </c>
      <c r="AD136" s="2">
        <f>72.1-69.4</f>
        <v>2.6999999999999886</v>
      </c>
      <c r="AE136" s="2">
        <f>(320.5-221.5)/2</f>
        <v>49.5</v>
      </c>
      <c r="AF136" s="2">
        <f>63.7-60.7</f>
        <v>3</v>
      </c>
      <c r="AG136" s="2">
        <v>1.4</v>
      </c>
      <c r="AH136" s="2">
        <v>21</v>
      </c>
      <c r="AI136" s="2">
        <v>9.9953799999999999E-3</v>
      </c>
      <c r="AJ136" s="2">
        <f t="shared" si="6"/>
        <v>475.97047619047618</v>
      </c>
      <c r="AK136" s="2">
        <v>6.2</v>
      </c>
      <c r="AL136" s="2" t="s">
        <v>116</v>
      </c>
      <c r="AM136" s="2" t="s">
        <v>82</v>
      </c>
      <c r="AN136" s="2" t="s">
        <v>163</v>
      </c>
      <c r="AO136" s="4" t="s">
        <v>211</v>
      </c>
    </row>
    <row r="137" spans="1:41" x14ac:dyDescent="0.35">
      <c r="A137" s="2" t="s">
        <v>163</v>
      </c>
      <c r="B137" s="2" t="s">
        <v>41</v>
      </c>
      <c r="C137" s="2">
        <v>-70.400000000000006</v>
      </c>
      <c r="D137" s="2">
        <v>54.9</v>
      </c>
      <c r="E137" s="2">
        <v>231.10700254217713</v>
      </c>
      <c r="F137" s="2">
        <v>32.847465794752679</v>
      </c>
      <c r="G137" s="2">
        <v>90.100624526042608</v>
      </c>
      <c r="H137" s="2">
        <v>11.923178132926504</v>
      </c>
      <c r="I137" s="2">
        <v>77.095058206768925</v>
      </c>
      <c r="J137" s="2">
        <v>10.314536611571844</v>
      </c>
      <c r="K137" s="2">
        <v>43</v>
      </c>
      <c r="L137" s="2" t="s">
        <v>82</v>
      </c>
      <c r="M137" s="2" t="s">
        <v>132</v>
      </c>
      <c r="N137" s="2" t="s">
        <v>31</v>
      </c>
      <c r="O137" s="2" t="s">
        <v>127</v>
      </c>
      <c r="P137" s="2">
        <v>16</v>
      </c>
      <c r="Q137" s="2" t="s">
        <v>123</v>
      </c>
      <c r="R137" s="2">
        <v>82.546153846153842</v>
      </c>
      <c r="S137" s="2">
        <v>0.52330769230769236</v>
      </c>
      <c r="T137" s="2">
        <v>19.942923076923101</v>
      </c>
      <c r="U137" s="2">
        <v>0.72764705882352931</v>
      </c>
      <c r="V137" s="2">
        <v>0.49099999999999999</v>
      </c>
      <c r="W137" s="2">
        <v>0.57599999999999996</v>
      </c>
      <c r="X137" s="2">
        <v>19.4322352941176</v>
      </c>
      <c r="Y137" s="2">
        <v>18.706</v>
      </c>
      <c r="Z137" s="2">
        <v>20.141999999999999</v>
      </c>
      <c r="AA137" s="2">
        <v>67.40441176470587</v>
      </c>
      <c r="AB137" s="2">
        <v>82.111999999999995</v>
      </c>
      <c r="AC137" s="2">
        <v>65.844999999999999</v>
      </c>
      <c r="AD137" s="2">
        <f>72.4-69.9</f>
        <v>2.5</v>
      </c>
      <c r="AE137" s="2">
        <f>(286.6-221.5)/2</f>
        <v>32.550000000000011</v>
      </c>
      <c r="AF137" s="2">
        <f>63.43-60.71</f>
        <v>2.7199999999999989</v>
      </c>
      <c r="AG137" s="2">
        <v>2.2999999999999998</v>
      </c>
      <c r="AH137" s="2">
        <v>22</v>
      </c>
      <c r="AI137" s="2">
        <v>7.0258200000000003E-3</v>
      </c>
      <c r="AJ137" s="2">
        <f t="shared" si="6"/>
        <v>319.35545454545456</v>
      </c>
      <c r="AK137" s="2">
        <v>6.4</v>
      </c>
      <c r="AL137" s="2" t="s">
        <v>116</v>
      </c>
      <c r="AM137" s="2" t="s">
        <v>82</v>
      </c>
      <c r="AN137" s="2" t="s">
        <v>163</v>
      </c>
      <c r="AO137" s="4" t="s">
        <v>211</v>
      </c>
    </row>
    <row r="138" spans="1:41" x14ac:dyDescent="0.35">
      <c r="A138" s="2" t="s">
        <v>163</v>
      </c>
      <c r="B138" s="2" t="s">
        <v>42</v>
      </c>
      <c r="C138" s="2">
        <v>-70</v>
      </c>
      <c r="D138" s="2">
        <v>55.3</v>
      </c>
      <c r="E138" s="2">
        <v>196.42506383814543</v>
      </c>
      <c r="F138" s="2">
        <v>58.928020625475618</v>
      </c>
      <c r="G138" s="2">
        <v>66.014548278046902</v>
      </c>
      <c r="H138" s="2">
        <v>17.549925142362735</v>
      </c>
      <c r="I138" s="2">
        <v>59.287365862334873</v>
      </c>
      <c r="J138" s="2">
        <v>16.052936259312478</v>
      </c>
      <c r="K138" s="2">
        <v>31</v>
      </c>
      <c r="L138" s="2" t="s">
        <v>131</v>
      </c>
      <c r="M138" s="2" t="s">
        <v>131</v>
      </c>
      <c r="N138" s="2" t="s">
        <v>31</v>
      </c>
      <c r="O138" s="2" t="s">
        <v>127</v>
      </c>
      <c r="P138" s="2">
        <v>16</v>
      </c>
      <c r="Q138" s="2" t="s">
        <v>123</v>
      </c>
      <c r="R138" s="2">
        <v>79.623062500000003</v>
      </c>
      <c r="S138" s="2">
        <v>0.76950000000000007</v>
      </c>
      <c r="T138" s="2">
        <v>10.091875</v>
      </c>
      <c r="U138" s="2">
        <v>1.0296315789473685</v>
      </c>
      <c r="V138" s="2">
        <v>0.76300000000000001</v>
      </c>
      <c r="W138" s="2">
        <v>1.0649999999999999</v>
      </c>
      <c r="X138" s="2">
        <v>10.9822631578947</v>
      </c>
      <c r="Y138" s="2">
        <v>6.8780000000000001</v>
      </c>
      <c r="Z138" s="2">
        <v>11.343</v>
      </c>
      <c r="AA138" s="2">
        <v>58.359526315789481</v>
      </c>
      <c r="AB138" s="2">
        <v>81.215000000000003</v>
      </c>
      <c r="AC138" s="2">
        <v>56.158999999999999</v>
      </c>
      <c r="AD138" s="2">
        <f>73.25-70.39</f>
        <v>2.8599999999999994</v>
      </c>
      <c r="AE138" s="2">
        <f>(449.1-244.5)/2</f>
        <v>102.30000000000001</v>
      </c>
      <c r="AF138" s="2">
        <v>0</v>
      </c>
      <c r="AG138" s="2">
        <v>0.7</v>
      </c>
      <c r="AH138" s="2">
        <v>40</v>
      </c>
      <c r="AI138" s="2">
        <v>1.3474E-2</v>
      </c>
      <c r="AJ138" s="2">
        <f t="shared" si="6"/>
        <v>336.84999999999997</v>
      </c>
      <c r="AK138" s="2">
        <v>2.6</v>
      </c>
      <c r="AL138" s="2" t="s">
        <v>116</v>
      </c>
      <c r="AM138" s="2" t="s">
        <v>82</v>
      </c>
      <c r="AN138" s="2" t="s">
        <v>163</v>
      </c>
      <c r="AO138" s="4" t="s">
        <v>211</v>
      </c>
    </row>
    <row r="139" spans="1:41" x14ac:dyDescent="0.35">
      <c r="A139" s="2" t="s">
        <v>163</v>
      </c>
      <c r="B139" s="2" t="s">
        <v>42</v>
      </c>
      <c r="C139" s="2">
        <v>-71.8</v>
      </c>
      <c r="D139" s="2">
        <v>55.7</v>
      </c>
      <c r="E139" s="2">
        <v>191.31432944327517</v>
      </c>
      <c r="F139" s="2">
        <v>58.647767031332577</v>
      </c>
      <c r="G139" s="2">
        <v>75.83444295271461</v>
      </c>
      <c r="H139" s="2">
        <v>22.560302503032403</v>
      </c>
      <c r="I139" s="2">
        <v>69.579738380183898</v>
      </c>
      <c r="J139" s="2">
        <v>20.605707324116555</v>
      </c>
      <c r="K139" s="2">
        <v>34</v>
      </c>
      <c r="L139" s="2" t="s">
        <v>82</v>
      </c>
      <c r="M139" s="2" t="s">
        <v>132</v>
      </c>
      <c r="N139" s="2" t="s">
        <v>31</v>
      </c>
      <c r="O139" s="2" t="s">
        <v>127</v>
      </c>
      <c r="P139" s="2">
        <v>16</v>
      </c>
      <c r="Q139" s="2" t="s">
        <v>123</v>
      </c>
      <c r="R139" s="2">
        <v>78.401785714285708</v>
      </c>
      <c r="S139" s="2">
        <v>0.77835714285714286</v>
      </c>
      <c r="T139" s="2">
        <v>9.7274999999999991</v>
      </c>
      <c r="U139" s="2">
        <v>1.3259999999999998</v>
      </c>
      <c r="V139" s="2">
        <v>0.81799999999999995</v>
      </c>
      <c r="W139" s="2">
        <v>1.36</v>
      </c>
      <c r="X139" s="2">
        <v>10.461517241379299</v>
      </c>
      <c r="Y139" s="2">
        <v>6.1740000000000004</v>
      </c>
      <c r="Z139" s="2">
        <v>12.717000000000001</v>
      </c>
      <c r="AA139" s="2">
        <v>45.386655172413782</v>
      </c>
      <c r="AB139" s="2">
        <v>75.637</v>
      </c>
      <c r="AC139" s="2">
        <v>41.838999999999999</v>
      </c>
      <c r="AD139" s="2">
        <f>72.88-70.37</f>
        <v>2.5099999999999909</v>
      </c>
      <c r="AE139" s="2">
        <f>(412-245)/2</f>
        <v>83.5</v>
      </c>
      <c r="AF139" s="2">
        <v>0</v>
      </c>
      <c r="AG139" s="2">
        <v>0.9</v>
      </c>
      <c r="AH139" s="2">
        <v>38</v>
      </c>
      <c r="AI139" s="2">
        <v>1.52167E-2</v>
      </c>
      <c r="AJ139" s="2">
        <f t="shared" si="6"/>
        <v>400.4394736842105</v>
      </c>
      <c r="AK139" s="2">
        <v>2.5</v>
      </c>
      <c r="AL139" s="2" t="s">
        <v>116</v>
      </c>
      <c r="AM139" s="2" t="s">
        <v>82</v>
      </c>
      <c r="AN139" s="2" t="s">
        <v>163</v>
      </c>
      <c r="AO139" s="4" t="s">
        <v>211</v>
      </c>
    </row>
    <row r="140" spans="1:41" x14ac:dyDescent="0.35">
      <c r="A140" s="2" t="s">
        <v>163</v>
      </c>
      <c r="B140" s="2" t="s">
        <v>43</v>
      </c>
      <c r="C140" s="2">
        <v>-70.5</v>
      </c>
      <c r="D140" s="2">
        <v>56.1</v>
      </c>
      <c r="E140" s="2">
        <v>203.29335230737908</v>
      </c>
      <c r="F140" s="2">
        <v>106.96061689454483</v>
      </c>
      <c r="G140" s="2">
        <v>65.149004420326591</v>
      </c>
      <c r="H140" s="2">
        <v>25.551750539742937</v>
      </c>
      <c r="I140" s="2">
        <v>53.098284925396676</v>
      </c>
      <c r="J140" s="2">
        <v>20.316256246799437</v>
      </c>
      <c r="K140" s="2">
        <v>30</v>
      </c>
      <c r="L140" s="2" t="s">
        <v>131</v>
      </c>
      <c r="M140" s="2" t="s">
        <v>131</v>
      </c>
      <c r="N140" s="2" t="s">
        <v>31</v>
      </c>
      <c r="O140" s="2" t="s">
        <v>127</v>
      </c>
      <c r="P140" s="2">
        <v>16</v>
      </c>
      <c r="Q140" s="2" t="s">
        <v>123</v>
      </c>
      <c r="R140" s="2">
        <v>78.545400000000015</v>
      </c>
      <c r="S140" s="2">
        <v>0.70639999999999992</v>
      </c>
      <c r="T140" s="2">
        <v>6.5453999999999999</v>
      </c>
      <c r="U140" s="2">
        <v>0.69899999999999995</v>
      </c>
      <c r="V140" s="2">
        <v>0.63600000000000001</v>
      </c>
      <c r="W140" s="2">
        <v>0.68</v>
      </c>
      <c r="X140" s="2">
        <v>13.395250000000001</v>
      </c>
      <c r="Y140" s="2">
        <v>6.1040000000000001</v>
      </c>
      <c r="Z140" s="2">
        <v>15.061</v>
      </c>
      <c r="AA140" s="2">
        <v>67.49175000000001</v>
      </c>
      <c r="AB140" s="2">
        <v>85.332999999999998</v>
      </c>
      <c r="AC140" s="2">
        <v>66.105999999999995</v>
      </c>
      <c r="AD140" s="2">
        <f>70.79-70.08</f>
        <v>0.71000000000000796</v>
      </c>
      <c r="AE140" s="2">
        <f>(350.6-240.1)/2</f>
        <v>55.250000000000014</v>
      </c>
      <c r="AF140" s="2">
        <f>54.83-54.27</f>
        <v>0.55999999999999517</v>
      </c>
      <c r="AG140" s="2">
        <v>0.6</v>
      </c>
      <c r="AH140" s="2">
        <v>46</v>
      </c>
      <c r="AI140" s="3">
        <v>1.25673E-2</v>
      </c>
      <c r="AJ140" s="2">
        <f t="shared" si="6"/>
        <v>273.20217391304345</v>
      </c>
      <c r="AK140" s="2">
        <v>2.5</v>
      </c>
      <c r="AL140" s="2" t="s">
        <v>116</v>
      </c>
      <c r="AM140" s="2" t="s">
        <v>82</v>
      </c>
      <c r="AN140" s="2" t="s">
        <v>163</v>
      </c>
      <c r="AO140" s="4" t="s">
        <v>211</v>
      </c>
    </row>
    <row r="141" spans="1:41" x14ac:dyDescent="0.35">
      <c r="A141" s="2" t="s">
        <v>163</v>
      </c>
      <c r="B141" s="2" t="s">
        <v>43</v>
      </c>
      <c r="C141" s="2">
        <v>-72.8</v>
      </c>
      <c r="D141" s="2">
        <v>56.5</v>
      </c>
      <c r="E141" s="2">
        <v>180.66847335140028</v>
      </c>
      <c r="F141" s="2">
        <v>95.995260442681115</v>
      </c>
      <c r="G141" s="2">
        <v>72.26104730466308</v>
      </c>
      <c r="H141" s="2">
        <v>33.253784813550261</v>
      </c>
      <c r="I141" s="2">
        <v>59.084194977843588</v>
      </c>
      <c r="J141" s="2">
        <v>27.537456744488839</v>
      </c>
      <c r="K141" s="2">
        <v>34</v>
      </c>
      <c r="L141" s="2" t="s">
        <v>82</v>
      </c>
      <c r="M141" s="2" t="s">
        <v>132</v>
      </c>
      <c r="N141" s="2" t="s">
        <v>31</v>
      </c>
      <c r="O141" s="2" t="s">
        <v>127</v>
      </c>
      <c r="P141" s="2">
        <v>16</v>
      </c>
      <c r="Q141" s="2" t="s">
        <v>123</v>
      </c>
      <c r="R141" s="2">
        <v>61.748733333333334</v>
      </c>
      <c r="S141" s="2">
        <v>0.82513333333333339</v>
      </c>
      <c r="T141" s="2">
        <v>9.2812666666666708</v>
      </c>
      <c r="U141" s="2">
        <v>0.68070000000000008</v>
      </c>
      <c r="V141" s="2">
        <v>0.64300000000000002</v>
      </c>
      <c r="W141" s="2">
        <v>0.69699999999999995</v>
      </c>
      <c r="X141" s="2">
        <v>12.8629</v>
      </c>
      <c r="Y141" s="2">
        <v>7.4480000000000004</v>
      </c>
      <c r="Z141" s="2">
        <v>11.46</v>
      </c>
      <c r="AA141" s="2">
        <v>71.925200000000004</v>
      </c>
      <c r="AB141" s="2">
        <v>83.677999999999997</v>
      </c>
      <c r="AC141" s="2">
        <v>73.724000000000004</v>
      </c>
      <c r="AD141" s="2">
        <f>70.66-70.27</f>
        <v>0.39000000000000057</v>
      </c>
      <c r="AE141" s="2">
        <f>(336-246)/2</f>
        <v>45</v>
      </c>
      <c r="AF141" s="2">
        <v>0</v>
      </c>
      <c r="AG141" s="2">
        <v>1.2</v>
      </c>
      <c r="AH141" s="2">
        <v>50</v>
      </c>
      <c r="AI141" s="2">
        <v>1.02066E-2</v>
      </c>
      <c r="AJ141" s="2">
        <f t="shared" si="5"/>
        <v>204.13199999999998</v>
      </c>
      <c r="AK141" s="2">
        <v>2.5</v>
      </c>
      <c r="AL141" s="2" t="s">
        <v>116</v>
      </c>
      <c r="AM141" s="2" t="s">
        <v>82</v>
      </c>
      <c r="AN141" s="2" t="s">
        <v>163</v>
      </c>
      <c r="AO141" s="4" t="s">
        <v>211</v>
      </c>
    </row>
    <row r="142" spans="1:41" x14ac:dyDescent="0.35">
      <c r="A142" s="2" t="s">
        <v>163</v>
      </c>
      <c r="B142" s="2" t="s">
        <v>44</v>
      </c>
      <c r="C142" s="2">
        <v>-69.2</v>
      </c>
      <c r="D142" s="2">
        <v>56.9</v>
      </c>
      <c r="E142" s="2">
        <v>218.38829438742047</v>
      </c>
      <c r="F142" s="2">
        <v>63.790667916455121</v>
      </c>
      <c r="G142" s="2">
        <v>66.264406493030279</v>
      </c>
      <c r="H142" s="2">
        <v>16.643361789795836</v>
      </c>
      <c r="I142" s="2">
        <v>56.808498551383444</v>
      </c>
      <c r="J142" s="2">
        <v>15.117281911543405</v>
      </c>
      <c r="K142" s="2">
        <v>29</v>
      </c>
      <c r="L142" s="2" t="s">
        <v>131</v>
      </c>
      <c r="M142" s="2" t="s">
        <v>131</v>
      </c>
      <c r="N142" s="2" t="s">
        <v>31</v>
      </c>
      <c r="O142" s="2" t="s">
        <v>127</v>
      </c>
      <c r="P142" s="2">
        <v>16</v>
      </c>
      <c r="Q142" s="2" t="s">
        <v>123</v>
      </c>
      <c r="R142" s="2">
        <v>83.070999999999998</v>
      </c>
      <c r="S142" s="2">
        <v>0.59816666666666662</v>
      </c>
      <c r="T142" s="2">
        <v>13.452166666666701</v>
      </c>
      <c r="U142" s="2">
        <v>0.74382352941176466</v>
      </c>
      <c r="V142" s="2">
        <v>0.58499999999999996</v>
      </c>
      <c r="W142" s="2">
        <v>0.73899999999999999</v>
      </c>
      <c r="X142" s="2">
        <v>15.773176470588201</v>
      </c>
      <c r="Y142" s="2">
        <v>12.298</v>
      </c>
      <c r="Z142" s="2">
        <v>16.257999999999999</v>
      </c>
      <c r="AA142" s="2">
        <v>61.37747058823529</v>
      </c>
      <c r="AB142" s="2">
        <v>81.147000000000006</v>
      </c>
      <c r="AC142" s="2">
        <v>61.06</v>
      </c>
      <c r="AD142" s="2">
        <f>72.3-68.6</f>
        <v>3.7000000000000028</v>
      </c>
      <c r="AE142" s="2">
        <f>(422.8-237.3)/2</f>
        <v>92.75</v>
      </c>
      <c r="AF142" s="2">
        <f>56.3-55</f>
        <v>1.2999999999999972</v>
      </c>
      <c r="AG142" s="2">
        <v>0.8</v>
      </c>
      <c r="AH142" s="2">
        <v>33</v>
      </c>
      <c r="AI142" s="2">
        <v>1.39674E-2</v>
      </c>
      <c r="AJ142" s="2">
        <f t="shared" si="5"/>
        <v>423.25454545454545</v>
      </c>
      <c r="AK142" s="2">
        <v>4.9000000000000004</v>
      </c>
      <c r="AL142" s="2" t="s">
        <v>116</v>
      </c>
      <c r="AM142" s="2" t="s">
        <v>82</v>
      </c>
      <c r="AN142" s="2" t="s">
        <v>163</v>
      </c>
      <c r="AO142" s="4" t="s">
        <v>211</v>
      </c>
    </row>
    <row r="143" spans="1:41" x14ac:dyDescent="0.35">
      <c r="A143" s="2" t="s">
        <v>163</v>
      </c>
      <c r="B143" s="2" t="s">
        <v>44</v>
      </c>
      <c r="C143" s="2">
        <v>-70.2</v>
      </c>
      <c r="D143" s="2">
        <v>57.3</v>
      </c>
      <c r="E143" s="2">
        <v>209.51183741881309</v>
      </c>
      <c r="F143" s="2">
        <v>62.009615099145677</v>
      </c>
      <c r="G143" s="2">
        <v>73.956723094463499</v>
      </c>
      <c r="H143" s="2">
        <v>20.080267491553915</v>
      </c>
      <c r="I143" s="2">
        <v>68.521310127449397</v>
      </c>
      <c r="J143" s="2">
        <v>18.640626917023582</v>
      </c>
      <c r="K143" s="2">
        <v>35</v>
      </c>
      <c r="L143" s="2" t="s">
        <v>82</v>
      </c>
      <c r="M143" s="2" t="s">
        <v>132</v>
      </c>
      <c r="N143" s="2" t="s">
        <v>31</v>
      </c>
      <c r="O143" s="2" t="s">
        <v>127</v>
      </c>
      <c r="P143" s="2">
        <v>16</v>
      </c>
      <c r="Q143" s="2" t="s">
        <v>123</v>
      </c>
      <c r="R143" s="2">
        <v>82.429733333333331</v>
      </c>
      <c r="S143" s="2">
        <v>0.59179999999999999</v>
      </c>
      <c r="T143" s="2">
        <v>13.214600000000001</v>
      </c>
      <c r="U143" s="2">
        <v>0.82283333333333353</v>
      </c>
      <c r="V143" s="2">
        <v>0.59799999999999998</v>
      </c>
      <c r="W143" s="2">
        <v>0.85</v>
      </c>
      <c r="X143" s="2">
        <v>15.0520833333333</v>
      </c>
      <c r="Y143" s="2">
        <v>10.680999999999999</v>
      </c>
      <c r="Z143" s="2">
        <v>14.442</v>
      </c>
      <c r="AA143" s="2">
        <v>54.813791666666653</v>
      </c>
      <c r="AB143" s="2">
        <v>83.366</v>
      </c>
      <c r="AC143" s="2">
        <v>55.655999999999999</v>
      </c>
      <c r="AD143" s="2">
        <f>72.6-69.9</f>
        <v>2.6999999999999886</v>
      </c>
      <c r="AE143" s="2">
        <f>(421-239)/2</f>
        <v>91</v>
      </c>
      <c r="AF143" s="2">
        <f>55.3-54</f>
        <v>1.2999999999999972</v>
      </c>
      <c r="AG143" s="2">
        <v>1</v>
      </c>
      <c r="AH143" s="2">
        <v>31</v>
      </c>
      <c r="AI143" s="2">
        <v>1.21688E-2</v>
      </c>
      <c r="AJ143" s="2">
        <f t="shared" si="5"/>
        <v>392.54193548387099</v>
      </c>
      <c r="AK143" s="2">
        <v>4.7</v>
      </c>
      <c r="AL143" s="2" t="s">
        <v>116</v>
      </c>
      <c r="AM143" s="2" t="s">
        <v>82</v>
      </c>
      <c r="AN143" s="2" t="s">
        <v>163</v>
      </c>
      <c r="AO143" s="4" t="s">
        <v>211</v>
      </c>
    </row>
    <row r="144" spans="1:41" x14ac:dyDescent="0.35">
      <c r="A144" s="2" t="s">
        <v>164</v>
      </c>
      <c r="B144" s="2" t="s">
        <v>45</v>
      </c>
      <c r="C144" s="2">
        <v>-68.099999999999994</v>
      </c>
      <c r="D144" s="2">
        <v>57.7</v>
      </c>
      <c r="E144" s="2">
        <v>207.42584526031953</v>
      </c>
      <c r="F144" s="2">
        <v>80.446648155637334</v>
      </c>
      <c r="G144" s="2">
        <v>74.975475351562764</v>
      </c>
      <c r="H144" s="2">
        <v>24.047533493084508</v>
      </c>
      <c r="I144" s="2">
        <v>67.34913793103442</v>
      </c>
      <c r="J144" s="2">
        <v>21.460102344859877</v>
      </c>
      <c r="K144" s="2">
        <v>30</v>
      </c>
      <c r="L144" s="2" t="s">
        <v>131</v>
      </c>
      <c r="M144" s="2" t="s">
        <v>131</v>
      </c>
      <c r="N144" s="2" t="s">
        <v>31</v>
      </c>
      <c r="O144" s="2" t="s">
        <v>127</v>
      </c>
      <c r="P144" s="2">
        <v>18</v>
      </c>
      <c r="Q144" s="2" t="s">
        <v>123</v>
      </c>
      <c r="R144" s="2">
        <v>89.101888888888908</v>
      </c>
      <c r="S144" s="2">
        <v>0.65999999999999992</v>
      </c>
      <c r="T144" s="2">
        <v>10.782</v>
      </c>
      <c r="U144" s="2">
        <v>0.79138888888888892</v>
      </c>
      <c r="V144" s="2">
        <v>0.70799999999999996</v>
      </c>
      <c r="W144" s="2">
        <v>0.79200000000000004</v>
      </c>
      <c r="X144" s="2">
        <v>15.897</v>
      </c>
      <c r="Y144" s="2">
        <v>6.7530000000000001</v>
      </c>
      <c r="Z144" s="2">
        <v>14.343</v>
      </c>
      <c r="AA144" s="2">
        <v>64.108777777777775</v>
      </c>
      <c r="AB144" s="2">
        <v>87.114000000000004</v>
      </c>
      <c r="AC144" s="2">
        <v>66.114999999999995</v>
      </c>
      <c r="AD144" s="2">
        <f>69.7-68</f>
        <v>1.7000000000000028</v>
      </c>
      <c r="AE144" s="2">
        <f>(388.3-250)/2</f>
        <v>69.150000000000006</v>
      </c>
      <c r="AF144" s="2">
        <f>55.1-52.1</f>
        <v>3</v>
      </c>
      <c r="AG144" s="2">
        <v>0.6</v>
      </c>
      <c r="AH144" s="2">
        <v>48</v>
      </c>
      <c r="AI144" s="2">
        <v>1.11783E-2</v>
      </c>
      <c r="AJ144" s="2">
        <f t="shared" si="5"/>
        <v>232.88124999999999</v>
      </c>
      <c r="AK144" s="2">
        <v>3.3</v>
      </c>
      <c r="AL144" s="2" t="s">
        <v>116</v>
      </c>
      <c r="AM144" s="2" t="s">
        <v>82</v>
      </c>
      <c r="AN144" s="2" t="s">
        <v>164</v>
      </c>
      <c r="AO144" s="4" t="s">
        <v>211</v>
      </c>
    </row>
    <row r="145" spans="1:41" x14ac:dyDescent="0.35">
      <c r="A145" s="2" t="s">
        <v>164</v>
      </c>
      <c r="B145" s="2" t="s">
        <v>45</v>
      </c>
      <c r="C145" s="2">
        <v>-70.8</v>
      </c>
      <c r="D145" s="2">
        <v>58.1</v>
      </c>
      <c r="E145" s="2">
        <v>181.22508155128668</v>
      </c>
      <c r="F145" s="2">
        <v>71.430842810911457</v>
      </c>
      <c r="G145" s="2">
        <v>65.926048400917594</v>
      </c>
      <c r="H145" s="2">
        <v>23.816673416410861</v>
      </c>
      <c r="I145" s="2">
        <v>58.207217694993965</v>
      </c>
      <c r="J145" s="2">
        <v>20.166148390338254</v>
      </c>
      <c r="K145" s="2">
        <v>29</v>
      </c>
      <c r="L145" s="2" t="s">
        <v>82</v>
      </c>
      <c r="M145" s="2" t="s">
        <v>132</v>
      </c>
      <c r="N145" s="2" t="s">
        <v>31</v>
      </c>
      <c r="O145" s="2" t="s">
        <v>127</v>
      </c>
      <c r="P145" s="2">
        <v>18</v>
      </c>
      <c r="Q145" s="2" t="s">
        <v>123</v>
      </c>
      <c r="R145" s="2">
        <v>86.74966666666667</v>
      </c>
      <c r="S145" s="2">
        <v>0.71626666666666661</v>
      </c>
      <c r="T145" s="2">
        <v>9.2493333333333307</v>
      </c>
      <c r="U145" s="2">
        <v>0.8256190476190477</v>
      </c>
      <c r="V145" s="2">
        <v>0.67500000000000004</v>
      </c>
      <c r="W145" s="2">
        <v>0.81399999999999995</v>
      </c>
      <c r="X145" s="2">
        <v>14.866666666666699</v>
      </c>
      <c r="Y145" s="2">
        <v>8.0190000000000001</v>
      </c>
      <c r="Z145" s="2">
        <v>15.461</v>
      </c>
      <c r="AA145" s="2">
        <v>59.260523809523811</v>
      </c>
      <c r="AB145" s="2">
        <v>90.578000000000003</v>
      </c>
      <c r="AC145" s="2">
        <v>59.356000000000002</v>
      </c>
      <c r="AD145" s="2">
        <f>69.3-67.6</f>
        <v>1.7000000000000028</v>
      </c>
      <c r="AE145" s="2">
        <f>(432-250)/2</f>
        <v>91</v>
      </c>
      <c r="AF145" s="2">
        <f>53.5-51</f>
        <v>2.5</v>
      </c>
      <c r="AG145" s="2">
        <v>0.75</v>
      </c>
      <c r="AH145" s="2">
        <v>45</v>
      </c>
      <c r="AI145" s="2">
        <v>1.31272E-2</v>
      </c>
      <c r="AJ145" s="2">
        <f t="shared" si="5"/>
        <v>291.71555555555557</v>
      </c>
      <c r="AK145" s="2">
        <v>3.1</v>
      </c>
      <c r="AL145" s="2" t="s">
        <v>116</v>
      </c>
      <c r="AM145" s="2" t="s">
        <v>82</v>
      </c>
      <c r="AN145" s="2" t="s">
        <v>164</v>
      </c>
      <c r="AO145" s="4" t="s">
        <v>211</v>
      </c>
    </row>
    <row r="146" spans="1:41" x14ac:dyDescent="0.35">
      <c r="A146" s="2" t="s">
        <v>164</v>
      </c>
      <c r="B146" s="2" t="s">
        <v>46</v>
      </c>
      <c r="C146" s="2">
        <v>-66.599999999999994</v>
      </c>
      <c r="D146" s="2">
        <v>58.5</v>
      </c>
      <c r="E146" s="2">
        <v>252.20680958385856</v>
      </c>
      <c r="F146" s="2">
        <v>38.408678748309391</v>
      </c>
      <c r="G146" s="2">
        <v>109.03169460677488</v>
      </c>
      <c r="H146" s="2">
        <v>15.01032529158376</v>
      </c>
      <c r="I146" s="2">
        <v>99.930048965724509</v>
      </c>
      <c r="J146" s="2">
        <v>13.549205901172362</v>
      </c>
      <c r="K146" s="2">
        <v>53</v>
      </c>
      <c r="L146" s="2" t="s">
        <v>131</v>
      </c>
      <c r="M146" s="2" t="s">
        <v>131</v>
      </c>
      <c r="N146" s="2" t="s">
        <v>31</v>
      </c>
      <c r="O146" s="2" t="s">
        <v>127</v>
      </c>
      <c r="P146" s="2">
        <v>18</v>
      </c>
      <c r="Q146" s="2" t="s">
        <v>123</v>
      </c>
      <c r="R146" s="2">
        <v>85.915933333333342</v>
      </c>
      <c r="S146" s="2">
        <v>0.53726666666666678</v>
      </c>
      <c r="T146" s="2">
        <v>13.2853333333333</v>
      </c>
      <c r="U146" s="2">
        <v>0.61664516129032232</v>
      </c>
      <c r="V146" s="2">
        <v>0.51400000000000001</v>
      </c>
      <c r="W146" s="2">
        <v>0.621</v>
      </c>
      <c r="X146" s="2">
        <v>16.9832258064516</v>
      </c>
      <c r="Y146" s="2">
        <v>10.718</v>
      </c>
      <c r="Z146" s="2">
        <v>17.155999999999999</v>
      </c>
      <c r="AA146" s="2">
        <v>65.873580645161283</v>
      </c>
      <c r="AB146" s="2">
        <v>87.584000000000003</v>
      </c>
      <c r="AC146" s="2">
        <v>65.613</v>
      </c>
      <c r="AD146" s="2">
        <f>69.3-66</f>
        <v>3.2999999999999972</v>
      </c>
      <c r="AE146" s="2">
        <f>(320.2-223.3)/2</f>
        <v>48.449999999999989</v>
      </c>
      <c r="AF146" s="2">
        <f>59.3-57.4</f>
        <v>1.8999999999999986</v>
      </c>
      <c r="AG146" s="2">
        <v>1.2</v>
      </c>
      <c r="AH146" s="2">
        <v>14</v>
      </c>
      <c r="AI146" s="2">
        <v>1.1263199999999999E-2</v>
      </c>
      <c r="AJ146" s="2">
        <f t="shared" si="5"/>
        <v>804.51428571428562</v>
      </c>
      <c r="AK146" s="2">
        <v>4.5</v>
      </c>
      <c r="AL146" s="2" t="s">
        <v>116</v>
      </c>
      <c r="AM146" s="2" t="s">
        <v>82</v>
      </c>
      <c r="AN146" s="2" t="s">
        <v>164</v>
      </c>
      <c r="AO146" s="4" t="s">
        <v>211</v>
      </c>
    </row>
    <row r="147" spans="1:41" x14ac:dyDescent="0.35">
      <c r="A147" s="2" t="s">
        <v>164</v>
      </c>
      <c r="B147" s="2" t="s">
        <v>46</v>
      </c>
      <c r="C147" s="2">
        <v>-68.400000000000006</v>
      </c>
      <c r="D147" s="2">
        <v>58.9</v>
      </c>
      <c r="E147" s="2">
        <v>232.9373398555785</v>
      </c>
      <c r="F147" s="2">
        <v>35.684905618650795</v>
      </c>
      <c r="G147" s="2">
        <v>110.4843341789111</v>
      </c>
      <c r="H147" s="2">
        <v>15.740121006591833</v>
      </c>
      <c r="I147" s="2">
        <v>100.90817356205885</v>
      </c>
      <c r="J147" s="2">
        <v>14.52261227921379</v>
      </c>
      <c r="K147" s="2">
        <v>54</v>
      </c>
      <c r="L147" s="2" t="s">
        <v>82</v>
      </c>
      <c r="M147" s="2" t="s">
        <v>132</v>
      </c>
      <c r="N147" s="2" t="s">
        <v>31</v>
      </c>
      <c r="O147" s="2" t="s">
        <v>127</v>
      </c>
      <c r="P147" s="2">
        <v>18</v>
      </c>
      <c r="Q147" s="2" t="s">
        <v>123</v>
      </c>
      <c r="R147" s="2">
        <v>84.424636363636381</v>
      </c>
      <c r="S147" s="2">
        <v>0.5419090909090909</v>
      </c>
      <c r="T147" s="2">
        <v>15.189090909090901</v>
      </c>
      <c r="U147" s="2">
        <v>0.65702702702702731</v>
      </c>
      <c r="V147" s="2">
        <v>0.53100000000000003</v>
      </c>
      <c r="W147" s="2">
        <v>0.66400000000000003</v>
      </c>
      <c r="X147" s="2">
        <v>17.534891891891899</v>
      </c>
      <c r="Y147" s="2">
        <v>11.98</v>
      </c>
      <c r="Z147" s="2">
        <v>17.507999999999999</v>
      </c>
      <c r="AA147" s="2">
        <v>61.288351351351359</v>
      </c>
      <c r="AB147" s="2">
        <v>85.876999999999995</v>
      </c>
      <c r="AC147" s="2">
        <v>60.399000000000001</v>
      </c>
      <c r="AD147" s="2">
        <f>68.6-65.8</f>
        <v>2.7999999999999972</v>
      </c>
      <c r="AE147" s="2">
        <f>(346.8-225.9)/2</f>
        <v>60.45</v>
      </c>
      <c r="AF147" s="2">
        <f>57.6-55.5</f>
        <v>2.1000000000000014</v>
      </c>
      <c r="AG147" s="2">
        <v>1.7</v>
      </c>
      <c r="AH147" s="2">
        <v>14</v>
      </c>
      <c r="AI147" s="2">
        <v>8.6777299999999998E-3</v>
      </c>
      <c r="AJ147" s="2">
        <f t="shared" si="5"/>
        <v>619.83785714285716</v>
      </c>
      <c r="AK147" s="2">
        <v>4.4000000000000004</v>
      </c>
      <c r="AL147" s="2" t="s">
        <v>116</v>
      </c>
      <c r="AM147" s="2" t="s">
        <v>82</v>
      </c>
      <c r="AN147" s="2" t="s">
        <v>164</v>
      </c>
      <c r="AO147" s="4" t="s">
        <v>211</v>
      </c>
    </row>
    <row r="148" spans="1:41" x14ac:dyDescent="0.35">
      <c r="A148" s="2" t="s">
        <v>164</v>
      </c>
      <c r="B148" s="2" t="s">
        <v>47</v>
      </c>
      <c r="C148" s="2">
        <v>-65.2</v>
      </c>
      <c r="D148" s="2">
        <v>59.3</v>
      </c>
      <c r="E148" s="2">
        <v>230.62730627306206</v>
      </c>
      <c r="F148" s="2">
        <v>67.903590717052381</v>
      </c>
      <c r="G148" s="2">
        <v>91.733284829180377</v>
      </c>
      <c r="H148" s="2">
        <v>22.22009321028203</v>
      </c>
      <c r="I148" s="2">
        <v>78.536087332129441</v>
      </c>
      <c r="J148" s="2">
        <v>18.759449706464537</v>
      </c>
      <c r="K148" s="2">
        <v>44</v>
      </c>
      <c r="L148" s="2" t="s">
        <v>131</v>
      </c>
      <c r="M148" s="2" t="s">
        <v>131</v>
      </c>
      <c r="N148" s="2" t="s">
        <v>31</v>
      </c>
      <c r="O148" s="2" t="s">
        <v>127</v>
      </c>
      <c r="P148" s="2">
        <v>18</v>
      </c>
      <c r="Q148" s="2" t="s">
        <v>123</v>
      </c>
      <c r="R148" s="2">
        <v>89.650933333333342</v>
      </c>
      <c r="S148" s="2">
        <v>0.54513333333333336</v>
      </c>
      <c r="T148" s="2">
        <v>12.533333333333299</v>
      </c>
      <c r="U148" s="2">
        <v>0.57857894736842108</v>
      </c>
      <c r="V148" s="2">
        <v>0.52500000000000002</v>
      </c>
      <c r="W148" s="2">
        <v>0.57699999999999996</v>
      </c>
      <c r="X148" s="2">
        <v>17.0943684210526</v>
      </c>
      <c r="Y148" s="2">
        <v>12.035</v>
      </c>
      <c r="Z148" s="2">
        <v>18.2</v>
      </c>
      <c r="AA148" s="2">
        <v>75.411789473684209</v>
      </c>
      <c r="AB148" s="2">
        <v>89.462000000000003</v>
      </c>
      <c r="AC148" s="2">
        <v>74.573999999999998</v>
      </c>
      <c r="AD148" s="2">
        <f>69.9-66.2</f>
        <v>3.7000000000000028</v>
      </c>
      <c r="AE148" s="2">
        <f>(381.8-230.8)/2</f>
        <v>75.5</v>
      </c>
      <c r="AF148" s="2">
        <f>61.3-57.9</f>
        <v>3.3999999999999986</v>
      </c>
      <c r="AG148" s="2">
        <v>0.6</v>
      </c>
      <c r="AH148" s="2">
        <v>18</v>
      </c>
      <c r="AI148" s="2">
        <v>1.1861500000000001E-2</v>
      </c>
      <c r="AJ148" s="2">
        <f t="shared" si="5"/>
        <v>658.97222222222229</v>
      </c>
      <c r="AK148" s="2">
        <v>4.7</v>
      </c>
      <c r="AL148" s="2" t="s">
        <v>116</v>
      </c>
      <c r="AM148" s="2" t="s">
        <v>82</v>
      </c>
      <c r="AN148" s="2" t="s">
        <v>164</v>
      </c>
      <c r="AO148" s="4" t="s">
        <v>211</v>
      </c>
    </row>
    <row r="149" spans="1:41" x14ac:dyDescent="0.35">
      <c r="A149" s="2" t="s">
        <v>164</v>
      </c>
      <c r="B149" s="2" t="s">
        <v>47</v>
      </c>
      <c r="C149" s="2">
        <v>-68</v>
      </c>
      <c r="D149" s="2">
        <v>59.7</v>
      </c>
      <c r="E149" s="2">
        <v>200.76289901626203</v>
      </c>
      <c r="F149" s="2">
        <v>60.819759520045267</v>
      </c>
      <c r="G149" s="2">
        <v>84.350511839443499</v>
      </c>
      <c r="H149" s="2">
        <v>22.262486639571247</v>
      </c>
      <c r="I149" s="2">
        <v>65.932616865563261</v>
      </c>
      <c r="J149" s="2">
        <v>20.151065103689216</v>
      </c>
      <c r="K149" s="2">
        <v>36</v>
      </c>
      <c r="L149" s="2" t="s">
        <v>82</v>
      </c>
      <c r="M149" s="2" t="s">
        <v>132</v>
      </c>
      <c r="N149" s="2" t="s">
        <v>31</v>
      </c>
      <c r="O149" s="2" t="s">
        <v>127</v>
      </c>
      <c r="P149" s="2">
        <v>18</v>
      </c>
      <c r="Q149" s="2" t="s">
        <v>123</v>
      </c>
      <c r="R149" s="2">
        <v>88.325133333333341</v>
      </c>
      <c r="S149" s="2">
        <v>0.54346666666666676</v>
      </c>
      <c r="T149" s="2">
        <v>13.1712666666667</v>
      </c>
      <c r="U149" s="2">
        <v>0.69392857142857145</v>
      </c>
      <c r="V149" s="2">
        <v>0.56499999999999995</v>
      </c>
      <c r="W149" s="2">
        <v>0.66100000000000003</v>
      </c>
      <c r="X149" s="2">
        <v>14.6775428571429</v>
      </c>
      <c r="Y149" s="2">
        <v>10.441000000000001</v>
      </c>
      <c r="Z149" s="2">
        <v>16.696000000000002</v>
      </c>
      <c r="AA149" s="2">
        <v>47.757971428571416</v>
      </c>
      <c r="AB149" s="2">
        <v>86.638999999999996</v>
      </c>
      <c r="AC149" s="2">
        <v>64.48</v>
      </c>
      <c r="AD149" s="2">
        <f>70.1-66.6</f>
        <v>3.5</v>
      </c>
      <c r="AE149" s="2">
        <f>(344.6-230.8)/2</f>
        <v>56.900000000000006</v>
      </c>
      <c r="AF149" s="2">
        <f>61-58.5</f>
        <v>2.5</v>
      </c>
      <c r="AG149" s="2">
        <v>1.1000000000000001</v>
      </c>
      <c r="AH149" s="2">
        <v>33</v>
      </c>
      <c r="AI149" s="2">
        <v>1.2305399999999999E-2</v>
      </c>
      <c r="AJ149" s="2">
        <f t="shared" si="5"/>
        <v>372.89090909090908</v>
      </c>
      <c r="AK149" s="2">
        <v>3.8</v>
      </c>
      <c r="AL149" s="2" t="s">
        <v>116</v>
      </c>
      <c r="AM149" s="2" t="s">
        <v>82</v>
      </c>
      <c r="AN149" s="2" t="s">
        <v>164</v>
      </c>
      <c r="AO149" s="4" t="s">
        <v>211</v>
      </c>
    </row>
    <row r="150" spans="1:41" x14ac:dyDescent="0.35">
      <c r="A150" s="2" t="s">
        <v>192</v>
      </c>
      <c r="B150" s="2" t="s">
        <v>48</v>
      </c>
      <c r="C150" s="2">
        <v>-67</v>
      </c>
      <c r="D150" s="2">
        <v>60.1</v>
      </c>
      <c r="E150" s="2">
        <v>170.32873445750272</v>
      </c>
      <c r="F150" s="2">
        <v>80.497532556036475</v>
      </c>
      <c r="G150" s="2">
        <v>59.667366800853067</v>
      </c>
      <c r="H150" s="2">
        <v>25.387844736119064</v>
      </c>
      <c r="I150" s="2">
        <v>48.042277203939605</v>
      </c>
      <c r="J150" s="2">
        <v>19.585486605482838</v>
      </c>
      <c r="K150" s="2">
        <v>27</v>
      </c>
      <c r="L150" s="2" t="s">
        <v>131</v>
      </c>
      <c r="M150" s="2" t="s">
        <v>131</v>
      </c>
      <c r="N150" s="2" t="s">
        <v>209</v>
      </c>
      <c r="O150" s="2" t="s">
        <v>126</v>
      </c>
      <c r="P150" s="2">
        <v>20</v>
      </c>
      <c r="Q150" s="2" t="s">
        <v>123</v>
      </c>
      <c r="R150" s="2">
        <v>87.05385714285714</v>
      </c>
      <c r="S150" s="2">
        <v>0.85949999999999993</v>
      </c>
      <c r="T150" s="2">
        <v>5.1467142857142898</v>
      </c>
      <c r="U150" s="2">
        <v>1.4493749999999999</v>
      </c>
      <c r="V150" s="2">
        <v>0.91600000000000004</v>
      </c>
      <c r="W150" s="2">
        <v>1.41</v>
      </c>
      <c r="X150" s="2">
        <v>14.869047619047601</v>
      </c>
      <c r="Y150" s="2">
        <v>0.33500000000000002</v>
      </c>
      <c r="Z150" s="2">
        <v>9.7379999999999995</v>
      </c>
      <c r="AA150" s="2">
        <v>69.580592592592595</v>
      </c>
      <c r="AB150" s="2">
        <v>84.475999999999999</v>
      </c>
      <c r="AC150" s="2">
        <v>47.634999999999998</v>
      </c>
      <c r="AD150" s="2">
        <f>70.4-66</f>
        <v>4.4000000000000057</v>
      </c>
      <c r="AE150" s="2">
        <f>(483.5-248.9)/2</f>
        <v>117.3</v>
      </c>
      <c r="AF150" s="2">
        <f>55.2-54.1</f>
        <v>1.1000000000000014</v>
      </c>
      <c r="AG150" s="2">
        <v>0.6</v>
      </c>
      <c r="AH150" s="2">
        <v>34</v>
      </c>
      <c r="AI150" s="2">
        <v>1.28749E-2</v>
      </c>
      <c r="AJ150" s="2">
        <f t="shared" si="5"/>
        <v>378.67352941176472</v>
      </c>
      <c r="AK150" s="2">
        <v>2.9</v>
      </c>
      <c r="AL150" s="2" t="s">
        <v>116</v>
      </c>
      <c r="AM150" s="2" t="s">
        <v>82</v>
      </c>
      <c r="AN150" s="2" t="s">
        <v>192</v>
      </c>
      <c r="AO150" s="4" t="s">
        <v>212</v>
      </c>
    </row>
    <row r="151" spans="1:41" x14ac:dyDescent="0.35">
      <c r="A151" s="2" t="s">
        <v>192</v>
      </c>
      <c r="B151" s="2" t="s">
        <v>48</v>
      </c>
      <c r="C151" s="2">
        <v>-69.3</v>
      </c>
      <c r="D151" s="2">
        <v>60.5</v>
      </c>
      <c r="E151" s="2">
        <v>154.89467162329575</v>
      </c>
      <c r="F151" s="2">
        <v>74.011216702015062</v>
      </c>
      <c r="G151" s="2">
        <v>61.841956920416237</v>
      </c>
      <c r="H151" s="2">
        <v>27.441447781681315</v>
      </c>
      <c r="I151" s="2">
        <v>48.197416618469141</v>
      </c>
      <c r="J151" s="2">
        <v>20.545224829379269</v>
      </c>
      <c r="K151" s="2">
        <v>32</v>
      </c>
      <c r="L151" s="2" t="s">
        <v>82</v>
      </c>
      <c r="M151" s="2" t="s">
        <v>132</v>
      </c>
      <c r="N151" s="2" t="s">
        <v>209</v>
      </c>
      <c r="O151" s="2" t="s">
        <v>126</v>
      </c>
      <c r="P151" s="2">
        <v>20</v>
      </c>
      <c r="Q151" s="2" t="s">
        <v>123</v>
      </c>
      <c r="R151" s="2">
        <v>86.670285714285711</v>
      </c>
      <c r="S151" s="2">
        <v>0.89771428571428569</v>
      </c>
      <c r="T151" s="2">
        <v>3.8036428571428602</v>
      </c>
      <c r="U151" s="2">
        <v>1.3877083333333333</v>
      </c>
      <c r="V151" s="2">
        <v>0.86299999999999999</v>
      </c>
      <c r="W151" s="2">
        <v>1.3660000000000001</v>
      </c>
      <c r="X151" s="2">
        <v>15.8211904761905</v>
      </c>
      <c r="Y151" s="2">
        <v>3.3050000000000002</v>
      </c>
      <c r="Z151" s="2">
        <v>11.082000000000001</v>
      </c>
      <c r="AA151" s="2">
        <v>79.643437500000005</v>
      </c>
      <c r="AB151" s="2">
        <v>84.804000000000002</v>
      </c>
      <c r="AC151" s="2">
        <v>45.68</v>
      </c>
      <c r="AD151" s="2">
        <f>70.6-66.2</f>
        <v>4.3999999999999915</v>
      </c>
      <c r="AE151" s="2">
        <f>(469.3-248.3)/2</f>
        <v>110.5</v>
      </c>
      <c r="AF151" s="2">
        <f>54.6-54</f>
        <v>0.60000000000000142</v>
      </c>
      <c r="AG151" s="2">
        <v>0.8</v>
      </c>
      <c r="AH151" s="2">
        <v>29</v>
      </c>
      <c r="AI151" s="2">
        <v>1.21876E-2</v>
      </c>
      <c r="AJ151" s="2">
        <f t="shared" si="5"/>
        <v>420.26206896551724</v>
      </c>
      <c r="AK151" s="2">
        <v>3.1</v>
      </c>
      <c r="AL151" s="2" t="s">
        <v>116</v>
      </c>
      <c r="AM151" s="2" t="s">
        <v>82</v>
      </c>
      <c r="AN151" s="2" t="s">
        <v>192</v>
      </c>
      <c r="AO151" s="4" t="s">
        <v>212</v>
      </c>
    </row>
    <row r="152" spans="1:41" x14ac:dyDescent="0.35">
      <c r="A152" s="2" t="s">
        <v>192</v>
      </c>
      <c r="B152" s="2" t="s">
        <v>49</v>
      </c>
      <c r="C152" s="2">
        <v>-64.900000000000006</v>
      </c>
      <c r="D152" s="2">
        <v>60.9</v>
      </c>
      <c r="E152" s="2">
        <v>273.22404371584724</v>
      </c>
      <c r="F152" s="2">
        <v>54.00739299078495</v>
      </c>
      <c r="G152" s="2">
        <v>123.19262266247925</v>
      </c>
      <c r="H152" s="2">
        <v>23.267617315485602</v>
      </c>
      <c r="I152" s="2">
        <v>114.57378551787414</v>
      </c>
      <c r="J152" s="2">
        <v>21.715465555825638</v>
      </c>
      <c r="K152" s="2">
        <v>60</v>
      </c>
      <c r="L152" s="2" t="s">
        <v>131</v>
      </c>
      <c r="M152" s="2" t="s">
        <v>131</v>
      </c>
      <c r="N152" s="2" t="s">
        <v>209</v>
      </c>
      <c r="O152" s="2" t="s">
        <v>126</v>
      </c>
      <c r="P152" s="2">
        <v>20</v>
      </c>
      <c r="Q152" s="2" t="s">
        <v>123</v>
      </c>
      <c r="R152" s="2">
        <v>83.685533333333325</v>
      </c>
      <c r="S152" s="2">
        <v>0.58826666666666649</v>
      </c>
      <c r="T152" s="2">
        <v>9.6465999999999994</v>
      </c>
      <c r="U152" s="2">
        <v>0.58438095238095245</v>
      </c>
      <c r="V152" s="2">
        <v>0.56100000000000005</v>
      </c>
      <c r="W152" s="2">
        <v>0.59799999999999998</v>
      </c>
      <c r="X152" s="2">
        <v>14.869047619047601</v>
      </c>
      <c r="Y152" s="2">
        <v>7.9630000000000001</v>
      </c>
      <c r="Z152" s="2">
        <v>13.515000000000001</v>
      </c>
      <c r="AA152" s="2">
        <v>69.580592592592595</v>
      </c>
      <c r="AB152" s="2">
        <v>85.997</v>
      </c>
      <c r="AC152" s="2">
        <v>75.168999999999997</v>
      </c>
      <c r="AD152" s="2" t="s">
        <v>106</v>
      </c>
      <c r="AE152" s="2" t="s">
        <v>106</v>
      </c>
      <c r="AF152" s="2" t="s">
        <v>106</v>
      </c>
      <c r="AG152" s="2">
        <v>0.6</v>
      </c>
      <c r="AH152" s="2">
        <v>20</v>
      </c>
      <c r="AI152" s="2">
        <v>1.0872100000000001E-2</v>
      </c>
      <c r="AJ152" s="2">
        <f t="shared" si="5"/>
        <v>543.60500000000002</v>
      </c>
      <c r="AK152" s="2">
        <v>5.9</v>
      </c>
      <c r="AL152" s="2" t="s">
        <v>116</v>
      </c>
      <c r="AM152" s="2" t="s">
        <v>82</v>
      </c>
      <c r="AN152" s="2" t="s">
        <v>192</v>
      </c>
      <c r="AO152" s="4" t="s">
        <v>212</v>
      </c>
    </row>
    <row r="153" spans="1:41" x14ac:dyDescent="0.35">
      <c r="A153" s="2" t="s">
        <v>192</v>
      </c>
      <c r="B153" s="2" t="s">
        <v>49</v>
      </c>
      <c r="C153" s="2">
        <v>-60</v>
      </c>
      <c r="D153" s="2">
        <v>61.3</v>
      </c>
      <c r="E153" s="2">
        <v>260.48450117218033</v>
      </c>
      <c r="F153" s="2">
        <v>52.347428430582667</v>
      </c>
      <c r="G153" s="2">
        <v>120.56029321062303</v>
      </c>
      <c r="H153" s="2">
        <v>23.348274208009769</v>
      </c>
      <c r="I153" s="2">
        <v>111.4206128133702</v>
      </c>
      <c r="J153" s="2">
        <v>21.668754499250607</v>
      </c>
      <c r="K153" s="2">
        <v>59</v>
      </c>
      <c r="L153" s="2" t="s">
        <v>82</v>
      </c>
      <c r="M153" s="2" t="s">
        <v>132</v>
      </c>
      <c r="N153" s="2" t="s">
        <v>209</v>
      </c>
      <c r="O153" s="2" t="s">
        <v>126</v>
      </c>
      <c r="P153" s="2">
        <v>20</v>
      </c>
      <c r="Q153" s="2" t="s">
        <v>123</v>
      </c>
      <c r="R153" s="2">
        <v>92.153733333333335</v>
      </c>
      <c r="S153" s="2">
        <v>0.48573333333333335</v>
      </c>
      <c r="T153" s="2">
        <v>11.0879333333333</v>
      </c>
      <c r="U153" s="2">
        <v>0.52118750000000003</v>
      </c>
      <c r="V153" s="2">
        <v>0.501</v>
      </c>
      <c r="W153" s="2">
        <v>0.53400000000000003</v>
      </c>
      <c r="X153" s="2">
        <v>15.8211904761905</v>
      </c>
      <c r="Y153" s="2">
        <v>10.221</v>
      </c>
      <c r="Z153" s="2">
        <v>16.108000000000001</v>
      </c>
      <c r="AA153" s="2">
        <v>79.643437500000005</v>
      </c>
      <c r="AB153" s="2">
        <v>89.656999999999996</v>
      </c>
      <c r="AC153" s="2">
        <v>77.477999999999994</v>
      </c>
      <c r="AD153" s="2" t="s">
        <v>106</v>
      </c>
      <c r="AE153" s="2" t="s">
        <v>106</v>
      </c>
      <c r="AF153" s="2" t="s">
        <v>106</v>
      </c>
      <c r="AG153" s="2">
        <v>0.5</v>
      </c>
      <c r="AH153" s="2">
        <v>13</v>
      </c>
      <c r="AI153" s="2">
        <v>8.1802300000000001E-3</v>
      </c>
      <c r="AJ153" s="2">
        <f t="shared" si="5"/>
        <v>629.24846153846158</v>
      </c>
      <c r="AK153" s="2">
        <v>6.1</v>
      </c>
      <c r="AL153" s="2" t="s">
        <v>116</v>
      </c>
      <c r="AM153" s="2" t="s">
        <v>82</v>
      </c>
      <c r="AN153" s="2" t="s">
        <v>192</v>
      </c>
      <c r="AO153" s="4" t="s">
        <v>212</v>
      </c>
    </row>
    <row r="154" spans="1:41" x14ac:dyDescent="0.35">
      <c r="A154" s="2" t="s">
        <v>192</v>
      </c>
      <c r="B154" s="2" t="s">
        <v>50</v>
      </c>
      <c r="C154" s="2">
        <v>-62.1</v>
      </c>
      <c r="D154" s="2">
        <v>61.7</v>
      </c>
      <c r="E154" s="2">
        <v>203.95676116663185</v>
      </c>
      <c r="F154" s="2">
        <v>78.298209347423651</v>
      </c>
      <c r="G154" s="2">
        <v>59.875629576165331</v>
      </c>
      <c r="H154" s="2">
        <v>20.418416212140102</v>
      </c>
      <c r="I154" s="2">
        <v>52.331362185357584</v>
      </c>
      <c r="J154" s="2">
        <v>15.985695967839273</v>
      </c>
      <c r="K154" s="2">
        <v>25</v>
      </c>
      <c r="L154" s="2" t="s">
        <v>131</v>
      </c>
      <c r="M154" s="2" t="s">
        <v>131</v>
      </c>
      <c r="N154" s="2" t="s">
        <v>209</v>
      </c>
      <c r="O154" s="2" t="s">
        <v>126</v>
      </c>
      <c r="P154" s="2">
        <v>20</v>
      </c>
      <c r="Q154" s="2" t="s">
        <v>123</v>
      </c>
      <c r="R154" s="2">
        <v>81.918666666666681</v>
      </c>
      <c r="S154" s="2">
        <v>0.65813333333333346</v>
      </c>
      <c r="T154" s="2">
        <v>9.1534666666666702</v>
      </c>
      <c r="U154" s="2">
        <v>0.69899999999999995</v>
      </c>
      <c r="V154" s="2">
        <v>0.63600000000000001</v>
      </c>
      <c r="W154" s="2">
        <v>0.68</v>
      </c>
      <c r="X154" s="2">
        <v>13.395250000000001</v>
      </c>
      <c r="Y154" s="2">
        <v>6.1040000000000001</v>
      </c>
      <c r="Z154" s="2">
        <v>15.061</v>
      </c>
      <c r="AA154" s="2">
        <v>67.49175000000001</v>
      </c>
      <c r="AB154" s="2">
        <v>85.332999999999998</v>
      </c>
      <c r="AC154" s="2">
        <v>66.105999999999995</v>
      </c>
      <c r="AD154" s="2">
        <f>68.4-64.8</f>
        <v>3.6000000000000085</v>
      </c>
      <c r="AE154" s="2">
        <f>(431.3-240.8)/2</f>
        <v>95.25</v>
      </c>
      <c r="AF154" s="2">
        <f>53.3-52</f>
        <v>1.2999999999999972</v>
      </c>
      <c r="AG154" s="2">
        <v>0.6</v>
      </c>
      <c r="AH154" s="2">
        <v>28.1</v>
      </c>
      <c r="AI154" s="2">
        <v>1.25305E-2</v>
      </c>
      <c r="AJ154" s="2">
        <f t="shared" si="5"/>
        <v>445.92526690391458</v>
      </c>
      <c r="AK154" s="2">
        <v>3.8</v>
      </c>
      <c r="AL154" s="2" t="s">
        <v>116</v>
      </c>
      <c r="AM154" s="2" t="s">
        <v>82</v>
      </c>
      <c r="AN154" s="2" t="s">
        <v>192</v>
      </c>
      <c r="AO154" s="4" t="s">
        <v>212</v>
      </c>
    </row>
    <row r="155" spans="1:41" x14ac:dyDescent="0.35">
      <c r="A155" s="2" t="s">
        <v>192</v>
      </c>
      <c r="B155" s="2" t="s">
        <v>50</v>
      </c>
      <c r="C155" s="2">
        <v>-64.900000000000006</v>
      </c>
      <c r="D155" s="2">
        <v>62.1</v>
      </c>
      <c r="E155" s="2">
        <v>183.21729571271533</v>
      </c>
      <c r="F155" s="2">
        <v>74.953338752780979</v>
      </c>
      <c r="G155" s="2">
        <v>61.3905918929159</v>
      </c>
      <c r="H155" s="2">
        <v>24.004973997366719</v>
      </c>
      <c r="I155" s="2">
        <v>47.551117451260168</v>
      </c>
      <c r="J155" s="2">
        <v>18.051288149512335</v>
      </c>
      <c r="K155" s="2">
        <v>28</v>
      </c>
      <c r="L155" s="2" t="s">
        <v>82</v>
      </c>
      <c r="M155" s="2" t="s">
        <v>132</v>
      </c>
      <c r="N155" s="2" t="s">
        <v>209</v>
      </c>
      <c r="O155" s="2" t="s">
        <v>126</v>
      </c>
      <c r="P155" s="2">
        <v>20</v>
      </c>
      <c r="Q155" s="2" t="s">
        <v>123</v>
      </c>
      <c r="R155" s="2">
        <v>83.611599999999996</v>
      </c>
      <c r="S155" s="2">
        <v>0.64453333333333351</v>
      </c>
      <c r="T155" s="2">
        <v>7.9832000000000001</v>
      </c>
      <c r="U155" s="2">
        <v>0.69336363636363629</v>
      </c>
      <c r="V155" s="2">
        <v>0.64200000000000002</v>
      </c>
      <c r="W155" s="2">
        <v>0.70199999999999996</v>
      </c>
      <c r="X155" s="2">
        <v>12.564636363636399</v>
      </c>
      <c r="Y155" s="2">
        <v>7.3090000000000002</v>
      </c>
      <c r="Z155" s="2">
        <v>12.531000000000001</v>
      </c>
      <c r="AA155" s="2">
        <v>70.203272727272733</v>
      </c>
      <c r="AB155" s="2">
        <v>83.760999999999996</v>
      </c>
      <c r="AC155" s="2">
        <v>69.427999999999997</v>
      </c>
      <c r="AD155" s="2">
        <f>68.5-65</f>
        <v>3.5</v>
      </c>
      <c r="AE155" s="2">
        <f>(422.8-240.7)/2</f>
        <v>91.050000000000011</v>
      </c>
      <c r="AF155" s="2">
        <f>53.4-52.2</f>
        <v>1.1999999999999957</v>
      </c>
      <c r="AG155" s="2">
        <v>1</v>
      </c>
      <c r="AH155" s="2">
        <f>69.1-66.7</f>
        <v>2.3999999999999915</v>
      </c>
      <c r="AI155" s="2">
        <v>1.09359E-2</v>
      </c>
      <c r="AJ155" s="2">
        <f t="shared" si="5"/>
        <v>4556.6250000000164</v>
      </c>
      <c r="AK155" s="2">
        <v>4.3</v>
      </c>
      <c r="AL155" s="2" t="s">
        <v>116</v>
      </c>
      <c r="AM155" s="2" t="s">
        <v>82</v>
      </c>
      <c r="AN155" s="2" t="s">
        <v>192</v>
      </c>
      <c r="AO155" s="4" t="s">
        <v>212</v>
      </c>
    </row>
    <row r="156" spans="1:41" x14ac:dyDescent="0.35">
      <c r="A156" s="2" t="s">
        <v>192</v>
      </c>
      <c r="B156" s="2" t="s">
        <v>51</v>
      </c>
      <c r="C156" s="2">
        <v>-66.099999999999994</v>
      </c>
      <c r="D156" s="2">
        <v>62.5</v>
      </c>
      <c r="E156" s="2">
        <v>245.39877300613566</v>
      </c>
      <c r="F156" s="2">
        <v>49.461802698968775</v>
      </c>
      <c r="G156" s="2">
        <v>119.4652690618184</v>
      </c>
      <c r="H156" s="2">
        <v>22.515534120059705</v>
      </c>
      <c r="I156" s="2">
        <v>103.63768266141568</v>
      </c>
      <c r="J156" s="2">
        <v>22.822570028610112</v>
      </c>
      <c r="K156" s="2">
        <v>59</v>
      </c>
      <c r="L156" s="2" t="s">
        <v>131</v>
      </c>
      <c r="M156" s="2" t="s">
        <v>131</v>
      </c>
      <c r="N156" s="2" t="s">
        <v>209</v>
      </c>
      <c r="O156" s="2" t="s">
        <v>126</v>
      </c>
      <c r="P156" s="2">
        <v>20</v>
      </c>
      <c r="Q156" s="2" t="s">
        <v>123</v>
      </c>
      <c r="R156" s="2">
        <v>82.358999999999995</v>
      </c>
      <c r="S156" s="2">
        <v>0.5335333333333333</v>
      </c>
      <c r="T156" s="2">
        <v>13.813933333333299</v>
      </c>
      <c r="U156" s="2">
        <v>0.94164444444444428</v>
      </c>
      <c r="V156" s="2">
        <v>0.54600000000000004</v>
      </c>
      <c r="W156" s="2">
        <v>0.88200000000000001</v>
      </c>
      <c r="X156" s="2">
        <v>14.379200000000001</v>
      </c>
      <c r="Y156" s="2">
        <v>8.9589999999999996</v>
      </c>
      <c r="Z156" s="2">
        <v>13.345000000000001</v>
      </c>
      <c r="AA156" s="2">
        <v>49.566911111111118</v>
      </c>
      <c r="AB156" s="2">
        <v>83.363</v>
      </c>
      <c r="AC156" s="2">
        <v>49.598999999999997</v>
      </c>
      <c r="AD156" s="2">
        <f>69.1-66</f>
        <v>3.0999999999999943</v>
      </c>
      <c r="AE156" s="2">
        <f>(395.5-229.2)/2</f>
        <v>83.15</v>
      </c>
      <c r="AF156" s="2">
        <f>58.8-56</f>
        <v>2.7999999999999972</v>
      </c>
      <c r="AG156" s="2">
        <v>1.1000000000000001</v>
      </c>
      <c r="AH156" s="2">
        <v>16</v>
      </c>
      <c r="AI156" s="2">
        <v>7.2166399999999999E-3</v>
      </c>
      <c r="AJ156" s="2">
        <f t="shared" si="5"/>
        <v>451.03999999999996</v>
      </c>
      <c r="AK156" s="2">
        <v>7.1</v>
      </c>
      <c r="AL156" s="2" t="s">
        <v>116</v>
      </c>
      <c r="AM156" s="2" t="s">
        <v>82</v>
      </c>
      <c r="AN156" s="2" t="s">
        <v>192</v>
      </c>
      <c r="AO156" s="4" t="s">
        <v>212</v>
      </c>
    </row>
    <row r="157" spans="1:41" x14ac:dyDescent="0.35">
      <c r="A157" s="2" t="s">
        <v>192</v>
      </c>
      <c r="B157" s="2" t="s">
        <v>51</v>
      </c>
      <c r="C157" s="2">
        <v>-66.599999999999994</v>
      </c>
      <c r="D157" s="2">
        <v>62.9</v>
      </c>
      <c r="E157" s="2">
        <v>216.02937999567985</v>
      </c>
      <c r="F157" s="2">
        <v>43.233403100150554</v>
      </c>
      <c r="G157" s="2">
        <v>110.38576887015057</v>
      </c>
      <c r="H157" s="2">
        <v>20.904747743719017</v>
      </c>
      <c r="I157" s="2">
        <v>96.348395799209769</v>
      </c>
      <c r="J157" s="2">
        <v>20.109697499629718</v>
      </c>
      <c r="K157" s="2">
        <v>55</v>
      </c>
      <c r="L157" s="2" t="s">
        <v>82</v>
      </c>
      <c r="M157" s="2" t="s">
        <v>132</v>
      </c>
      <c r="N157" s="2" t="s">
        <v>209</v>
      </c>
      <c r="O157" s="2" t="s">
        <v>126</v>
      </c>
      <c r="P157" s="2">
        <v>20</v>
      </c>
      <c r="Q157" s="2" t="s">
        <v>123</v>
      </c>
      <c r="R157" s="2">
        <v>76.211066666666653</v>
      </c>
      <c r="S157" s="2">
        <v>0.60140000000000005</v>
      </c>
      <c r="T157" s="2">
        <v>13.4606666666667</v>
      </c>
      <c r="U157" s="2">
        <v>1.083596153846154</v>
      </c>
      <c r="V157" s="2">
        <v>0.64300000000000002</v>
      </c>
      <c r="W157" s="2">
        <v>1.0449999999999999</v>
      </c>
      <c r="X157" s="2">
        <v>15.776</v>
      </c>
      <c r="Y157" s="2">
        <v>9.4540000000000006</v>
      </c>
      <c r="Z157" s="2">
        <v>16.443000000000001</v>
      </c>
      <c r="AA157" s="2">
        <v>37.782711538461541</v>
      </c>
      <c r="AB157" s="2">
        <v>76.298000000000002</v>
      </c>
      <c r="AC157" s="2">
        <v>36.353000000000002</v>
      </c>
      <c r="AD157" s="2">
        <f>68.3-65.1</f>
        <v>3.2000000000000028</v>
      </c>
      <c r="AE157" s="2">
        <f>(381.2-231.9)/2</f>
        <v>74.649999999999991</v>
      </c>
      <c r="AF157" s="2">
        <f>57-54.9</f>
        <v>2.1000000000000014</v>
      </c>
      <c r="AG157" s="2">
        <v>0.86</v>
      </c>
      <c r="AH157" s="2">
        <v>17</v>
      </c>
      <c r="AI157" s="2">
        <v>7.8701599999999993E-3</v>
      </c>
      <c r="AJ157" s="2">
        <f t="shared" si="5"/>
        <v>462.95058823529411</v>
      </c>
      <c r="AK157" s="2">
        <v>6.5</v>
      </c>
      <c r="AL157" s="2" t="s">
        <v>116</v>
      </c>
      <c r="AM157" s="2" t="s">
        <v>82</v>
      </c>
      <c r="AN157" s="2" t="s">
        <v>192</v>
      </c>
      <c r="AO157" s="4" t="s">
        <v>212</v>
      </c>
    </row>
    <row r="158" spans="1:41" x14ac:dyDescent="0.35">
      <c r="A158" s="2" t="s">
        <v>174</v>
      </c>
      <c r="B158" s="2" t="s">
        <v>109</v>
      </c>
      <c r="C158" s="2">
        <v>-69.84</v>
      </c>
      <c r="D158" s="2">
        <v>63.3</v>
      </c>
      <c r="E158" s="2">
        <v>234.41162681669059</v>
      </c>
      <c r="F158" s="2">
        <v>105.34358171692493</v>
      </c>
      <c r="G158" s="2">
        <v>100.44484468229383</v>
      </c>
      <c r="H158" s="2">
        <v>23.704015177671561</v>
      </c>
      <c r="I158" s="2">
        <v>79.719387755102147</v>
      </c>
      <c r="J158" s="2">
        <v>12.911793882134669</v>
      </c>
      <c r="K158" s="2">
        <v>33</v>
      </c>
      <c r="L158" s="2" t="s">
        <v>131</v>
      </c>
      <c r="M158" s="2" t="s">
        <v>131</v>
      </c>
      <c r="N158" s="2" t="s">
        <v>209</v>
      </c>
      <c r="O158" s="2" t="s">
        <v>126</v>
      </c>
      <c r="P158" s="2">
        <v>18</v>
      </c>
      <c r="Q158" s="2" t="s">
        <v>123</v>
      </c>
      <c r="R158" s="2">
        <v>77.780058823529416</v>
      </c>
      <c r="S158" s="2">
        <v>0.52923529411764703</v>
      </c>
      <c r="T158" s="2">
        <v>15.287058823529399</v>
      </c>
      <c r="U158" s="2">
        <v>1.0210416666666666</v>
      </c>
      <c r="V158" s="2">
        <v>0.51700000000000002</v>
      </c>
      <c r="W158" s="2">
        <v>0.78500000000000003</v>
      </c>
      <c r="X158" s="2">
        <v>18.330083333333299</v>
      </c>
      <c r="Y158" s="2">
        <v>12.206</v>
      </c>
      <c r="Z158" s="2">
        <v>23.437999999999999</v>
      </c>
      <c r="AA158" s="2">
        <v>45.265583333333325</v>
      </c>
      <c r="AB158" s="2">
        <v>78.733999999999995</v>
      </c>
      <c r="AC158" s="2">
        <v>49.844999999999999</v>
      </c>
      <c r="AD158" s="2">
        <f>71.1-68.2</f>
        <v>2.8999999999999915</v>
      </c>
      <c r="AE158" s="2">
        <f>(379.1-228.6)/2</f>
        <v>75.250000000000014</v>
      </c>
      <c r="AF158" s="2">
        <f>61.3-58.3</f>
        <v>3</v>
      </c>
      <c r="AG158" s="2">
        <v>2</v>
      </c>
      <c r="AH158" s="2">
        <v>10</v>
      </c>
      <c r="AI158" s="2">
        <v>6.4712800000000003E-3</v>
      </c>
      <c r="AJ158" s="2">
        <f t="shared" si="5"/>
        <v>647.12800000000004</v>
      </c>
      <c r="AK158" s="2">
        <v>5.6</v>
      </c>
      <c r="AL158" s="2" t="s">
        <v>116</v>
      </c>
      <c r="AM158" s="2" t="s">
        <v>82</v>
      </c>
      <c r="AN158" s="2" t="s">
        <v>174</v>
      </c>
      <c r="AO158" s="4" t="s">
        <v>212</v>
      </c>
    </row>
    <row r="159" spans="1:41" x14ac:dyDescent="0.35">
      <c r="A159" s="2" t="s">
        <v>174</v>
      </c>
      <c r="B159" s="2" t="s">
        <v>109</v>
      </c>
      <c r="C159" s="2">
        <v>-70.8</v>
      </c>
      <c r="D159" s="2">
        <v>63.7</v>
      </c>
      <c r="E159" s="2">
        <v>222.27161591464792</v>
      </c>
      <c r="F159" s="2">
        <v>98.758432574042786</v>
      </c>
      <c r="G159" s="2">
        <v>94.375271683890134</v>
      </c>
      <c r="H159" s="2">
        <v>27.082746422867594</v>
      </c>
      <c r="I159" s="2">
        <v>62.531265632816556</v>
      </c>
      <c r="J159" s="2">
        <v>22.884938781834236</v>
      </c>
      <c r="K159" s="2">
        <v>39</v>
      </c>
      <c r="L159" s="2" t="s">
        <v>82</v>
      </c>
      <c r="M159" s="2" t="s">
        <v>132</v>
      </c>
      <c r="N159" s="2" t="s">
        <v>209</v>
      </c>
      <c r="O159" s="2" t="s">
        <v>126</v>
      </c>
      <c r="P159" s="2">
        <v>18</v>
      </c>
      <c r="Q159" s="2" t="s">
        <v>123</v>
      </c>
      <c r="R159" s="2">
        <v>69.536749999999998</v>
      </c>
      <c r="S159" s="2">
        <v>0.58068749999999991</v>
      </c>
      <c r="T159" s="2">
        <v>14.8925625</v>
      </c>
      <c r="U159" s="2">
        <v>0.76583333333333359</v>
      </c>
      <c r="V159" s="2">
        <v>0.54700000000000004</v>
      </c>
      <c r="W159" s="2">
        <v>0.79700000000000004</v>
      </c>
      <c r="X159" s="2">
        <v>19.248333333333299</v>
      </c>
      <c r="Y159" s="2">
        <v>13.161</v>
      </c>
      <c r="Z159" s="2">
        <v>19.338000000000001</v>
      </c>
      <c r="AA159" s="2">
        <v>46.808208333333333</v>
      </c>
      <c r="AB159" s="2">
        <v>71.491</v>
      </c>
      <c r="AC159" s="2">
        <v>45.502000000000002</v>
      </c>
      <c r="AD159" s="2">
        <f>69.47-67.69</f>
        <v>1.7800000000000011</v>
      </c>
      <c r="AE159" s="2">
        <f>(405.9-232.4)/2</f>
        <v>86.749999999999986</v>
      </c>
      <c r="AF159" s="2">
        <f>56.08-54.58</f>
        <v>1.5</v>
      </c>
      <c r="AG159" s="2">
        <v>2.7</v>
      </c>
      <c r="AH159" s="2">
        <v>11</v>
      </c>
      <c r="AI159" s="2">
        <v>5.7931700000000003E-3</v>
      </c>
      <c r="AJ159" s="2">
        <f t="shared" si="5"/>
        <v>526.65181818181827</v>
      </c>
      <c r="AK159" s="2">
        <v>6.5</v>
      </c>
      <c r="AL159" s="2" t="s">
        <v>116</v>
      </c>
      <c r="AM159" s="2" t="s">
        <v>82</v>
      </c>
      <c r="AN159" s="2" t="s">
        <v>174</v>
      </c>
      <c r="AO159" s="4" t="s">
        <v>212</v>
      </c>
    </row>
    <row r="160" spans="1:41" x14ac:dyDescent="0.35">
      <c r="A160" s="2" t="s">
        <v>193</v>
      </c>
      <c r="B160" s="2" t="s">
        <v>53</v>
      </c>
      <c r="C160" s="2">
        <v>-68.5</v>
      </c>
      <c r="D160" s="2">
        <v>64.099999999999994</v>
      </c>
      <c r="E160" s="2">
        <v>182.3819077147555</v>
      </c>
      <c r="F160" s="2">
        <v>52.276971800746374</v>
      </c>
      <c r="G160" s="2">
        <v>66.955027116929188</v>
      </c>
      <c r="H160" s="2">
        <v>27.323509107228244</v>
      </c>
      <c r="I160" s="2">
        <v>47.003525264394881</v>
      </c>
      <c r="J160" s="2">
        <v>20.33872408452196</v>
      </c>
      <c r="K160" s="2">
        <v>30</v>
      </c>
      <c r="L160" s="2" t="s">
        <v>131</v>
      </c>
      <c r="M160" s="2" t="s">
        <v>131</v>
      </c>
      <c r="N160" s="2" t="s">
        <v>209</v>
      </c>
      <c r="O160" s="2" t="s">
        <v>126</v>
      </c>
      <c r="P160" s="2">
        <v>18</v>
      </c>
      <c r="Q160" s="2" t="s">
        <v>123</v>
      </c>
      <c r="R160" s="2">
        <v>78.656999999999982</v>
      </c>
      <c r="S160" s="2">
        <v>0.79900000000000004</v>
      </c>
      <c r="T160" s="2">
        <v>13.2101875</v>
      </c>
      <c r="U160" s="2">
        <v>0.76444444444444448</v>
      </c>
      <c r="V160" s="2">
        <v>0.73599999999999999</v>
      </c>
      <c r="W160" s="2">
        <v>0.752</v>
      </c>
      <c r="X160" s="2">
        <v>17.3974444444444</v>
      </c>
      <c r="Y160" s="2">
        <v>13.715999999999999</v>
      </c>
      <c r="Z160" s="2">
        <v>17.225999999999999</v>
      </c>
      <c r="AA160" s="2">
        <v>73.764555555555546</v>
      </c>
      <c r="AB160" s="2">
        <v>83.632999999999996</v>
      </c>
      <c r="AC160" s="2">
        <v>74.867000000000004</v>
      </c>
      <c r="AD160" s="2">
        <f>72.6-68.1</f>
        <v>4.5</v>
      </c>
      <c r="AE160" s="2">
        <f>(378.5-220.5)/2</f>
        <v>79</v>
      </c>
      <c r="AF160" s="2">
        <f>59.9-57.1</f>
        <v>2.7999999999999972</v>
      </c>
      <c r="AG160" s="2">
        <v>0.27</v>
      </c>
      <c r="AH160" s="2">
        <v>74</v>
      </c>
      <c r="AI160" s="2">
        <v>1.8115800000000001E-2</v>
      </c>
      <c r="AJ160" s="2">
        <f t="shared" si="5"/>
        <v>244.80810810810814</v>
      </c>
      <c r="AK160" s="2">
        <v>3</v>
      </c>
      <c r="AL160" s="2" t="s">
        <v>116</v>
      </c>
      <c r="AM160" s="2" t="s">
        <v>128</v>
      </c>
      <c r="AN160" s="2" t="s">
        <v>193</v>
      </c>
      <c r="AO160" s="2" t="s">
        <v>211</v>
      </c>
    </row>
    <row r="161" spans="1:41" x14ac:dyDescent="0.35">
      <c r="A161" s="2" t="s">
        <v>193</v>
      </c>
      <c r="B161" s="2" t="s">
        <v>53</v>
      </c>
      <c r="C161" s="2">
        <v>-68.400000000000006</v>
      </c>
      <c r="D161" s="2">
        <v>64.5</v>
      </c>
      <c r="E161" s="2">
        <v>191.09497420217832</v>
      </c>
      <c r="F161" s="2">
        <v>55.21983098157056</v>
      </c>
      <c r="G161" s="2">
        <v>90.998690086271409</v>
      </c>
      <c r="H161" s="2">
        <v>36.842034891638214</v>
      </c>
      <c r="I161" s="2">
        <v>74.783128926114514</v>
      </c>
      <c r="J161" s="2">
        <v>35.330454707153365</v>
      </c>
      <c r="K161" s="2">
        <v>44</v>
      </c>
      <c r="L161" s="2" t="s">
        <v>81</v>
      </c>
      <c r="M161" s="2" t="s">
        <v>132</v>
      </c>
      <c r="N161" s="2" t="s">
        <v>209</v>
      </c>
      <c r="O161" s="2" t="s">
        <v>126</v>
      </c>
      <c r="P161" s="2">
        <v>18</v>
      </c>
      <c r="Q161" s="2" t="s">
        <v>123</v>
      </c>
      <c r="R161" s="2">
        <v>73.924719999999994</v>
      </c>
      <c r="S161" s="2">
        <v>0.82644000000000006</v>
      </c>
      <c r="T161" s="2">
        <v>12.114000000000001</v>
      </c>
      <c r="U161" s="2">
        <v>0.93699999999999994</v>
      </c>
      <c r="V161" s="2">
        <v>0.83799999999999997</v>
      </c>
      <c r="W161" s="2">
        <v>0.92100000000000004</v>
      </c>
      <c r="X161" s="2">
        <v>10.715</v>
      </c>
      <c r="Y161" s="2">
        <v>16.273</v>
      </c>
      <c r="Z161" s="2">
        <v>16.282</v>
      </c>
      <c r="AA161" s="2">
        <v>55.980148148148139</v>
      </c>
      <c r="AB161" s="2">
        <v>73.043000000000006</v>
      </c>
      <c r="AC161" s="2">
        <v>58.807000000000002</v>
      </c>
      <c r="AD161" s="2">
        <v>0</v>
      </c>
      <c r="AE161" s="2">
        <v>0</v>
      </c>
      <c r="AF161" s="2">
        <f>57.9-54.3</f>
        <v>3.6000000000000014</v>
      </c>
      <c r="AG161" s="2">
        <v>0.27</v>
      </c>
      <c r="AH161" s="2">
        <v>71</v>
      </c>
      <c r="AI161" s="2">
        <v>1.5465700000000001E-2</v>
      </c>
      <c r="AJ161" s="2">
        <f t="shared" si="5"/>
        <v>217.8267605633803</v>
      </c>
      <c r="AK161" s="2">
        <v>2.8</v>
      </c>
      <c r="AL161" s="2" t="s">
        <v>116</v>
      </c>
      <c r="AM161" s="2" t="s">
        <v>128</v>
      </c>
      <c r="AN161" s="2" t="s">
        <v>193</v>
      </c>
      <c r="AO161" s="2" t="s">
        <v>211</v>
      </c>
    </row>
    <row r="162" spans="1:41" x14ac:dyDescent="0.35">
      <c r="A162" s="2" t="s">
        <v>193</v>
      </c>
      <c r="B162" s="2" t="s">
        <v>54</v>
      </c>
      <c r="C162" s="2">
        <v>-68.599999999999994</v>
      </c>
      <c r="D162" s="2">
        <v>64.900000000000006</v>
      </c>
      <c r="E162" s="2">
        <v>186.98578908002946</v>
      </c>
      <c r="F162" s="2">
        <v>66.105979519074893</v>
      </c>
      <c r="G162" s="2">
        <v>97.979583110513119</v>
      </c>
      <c r="H162" s="2">
        <v>23.631234630560215</v>
      </c>
      <c r="I162" s="2">
        <v>79.840319361277594</v>
      </c>
      <c r="J162" s="2">
        <v>13.851059678349753</v>
      </c>
      <c r="K162" s="2">
        <v>48</v>
      </c>
      <c r="L162" s="2" t="s">
        <v>131</v>
      </c>
      <c r="M162" s="2" t="s">
        <v>131</v>
      </c>
      <c r="N162" s="2" t="s">
        <v>209</v>
      </c>
      <c r="O162" s="2" t="s">
        <v>126</v>
      </c>
      <c r="P162" s="2">
        <v>18</v>
      </c>
      <c r="Q162" s="2" t="s">
        <v>123</v>
      </c>
      <c r="R162" s="2">
        <v>76.616315789473703</v>
      </c>
      <c r="S162" s="2">
        <v>0.75636842105263158</v>
      </c>
      <c r="T162" s="2">
        <v>14.3768947368421</v>
      </c>
      <c r="U162" s="2">
        <v>1.0414285714285714</v>
      </c>
      <c r="V162" s="2">
        <v>0.71799999999999997</v>
      </c>
      <c r="W162" s="2">
        <v>1.0660000000000001</v>
      </c>
      <c r="X162" s="2">
        <v>16.429400000000001</v>
      </c>
      <c r="Y162" s="2">
        <v>10.069000000000001</v>
      </c>
      <c r="Z162" s="2">
        <v>16.315000000000001</v>
      </c>
      <c r="AA162" s="2">
        <v>51.923400000000008</v>
      </c>
      <c r="AB162" s="2">
        <v>79.256</v>
      </c>
      <c r="AC162" s="2">
        <v>51.448999999999998</v>
      </c>
      <c r="AD162" s="2">
        <f>71.2-67.4</f>
        <v>3.7999999999999972</v>
      </c>
      <c r="AE162" s="2">
        <f>(350.6-217)/2</f>
        <v>66.800000000000011</v>
      </c>
      <c r="AF162" s="2">
        <f>61.4-58.7</f>
        <v>2.6999999999999957</v>
      </c>
      <c r="AG162" s="2">
        <v>1.4</v>
      </c>
      <c r="AH162" s="2">
        <v>15</v>
      </c>
      <c r="AI162" s="2">
        <v>8.0413900000000007E-3</v>
      </c>
      <c r="AJ162" s="2">
        <f t="shared" si="5"/>
        <v>536.09266666666667</v>
      </c>
      <c r="AK162" s="2">
        <v>6.7</v>
      </c>
      <c r="AL162" s="2" t="s">
        <v>116</v>
      </c>
      <c r="AM162" s="2" t="s">
        <v>128</v>
      </c>
      <c r="AN162" s="2" t="s">
        <v>193</v>
      </c>
      <c r="AO162" s="2" t="s">
        <v>211</v>
      </c>
    </row>
    <row r="163" spans="1:41" x14ac:dyDescent="0.35">
      <c r="A163" s="2" t="s">
        <v>193</v>
      </c>
      <c r="B163" s="2" t="s">
        <v>54</v>
      </c>
      <c r="C163" s="2">
        <v>-66.3</v>
      </c>
      <c r="D163" s="2">
        <v>65.3</v>
      </c>
      <c r="E163" s="2">
        <v>192.38168526356264</v>
      </c>
      <c r="F163" s="2">
        <v>69.725681294788046</v>
      </c>
      <c r="G163" s="2">
        <v>104.07734063960547</v>
      </c>
      <c r="H163" s="2">
        <v>34.963772817166358</v>
      </c>
      <c r="I163" s="2">
        <v>91.499679751121093</v>
      </c>
      <c r="J163" s="2">
        <v>27.573734649476414</v>
      </c>
      <c r="K163" s="2">
        <v>53</v>
      </c>
      <c r="L163" s="2" t="s">
        <v>81</v>
      </c>
      <c r="M163" s="2" t="s">
        <v>132</v>
      </c>
      <c r="N163" s="2" t="s">
        <v>209</v>
      </c>
      <c r="O163" s="2" t="s">
        <v>126</v>
      </c>
      <c r="P163" s="2">
        <v>18</v>
      </c>
      <c r="Q163" s="2" t="s">
        <v>123</v>
      </c>
      <c r="R163" s="2">
        <v>75.813842105263163</v>
      </c>
      <c r="S163" s="2">
        <v>0.73721052631578943</v>
      </c>
      <c r="T163" s="2">
        <v>13.591842105263201</v>
      </c>
      <c r="U163" s="2">
        <v>1.0372272727272729</v>
      </c>
      <c r="V163" s="2">
        <v>0.70699999999999996</v>
      </c>
      <c r="W163" s="2">
        <v>1.0409999999999999</v>
      </c>
      <c r="X163" s="2">
        <v>15.515795454545501</v>
      </c>
      <c r="Y163" s="2">
        <v>10.659000000000001</v>
      </c>
      <c r="Z163" s="2">
        <v>14.707000000000001</v>
      </c>
      <c r="AA163" s="2">
        <v>48.017818181818186</v>
      </c>
      <c r="AB163" s="2">
        <v>75.582999999999998</v>
      </c>
      <c r="AC163" s="2">
        <v>49.851999999999997</v>
      </c>
      <c r="AD163" s="2">
        <f>67.88-66.44</f>
        <v>1.4399999999999977</v>
      </c>
      <c r="AE163" s="2">
        <f>(312.9-222.9)/2</f>
        <v>44.999999999999986</v>
      </c>
      <c r="AF163" s="2">
        <f>59.9-57.1</f>
        <v>2.7999999999999972</v>
      </c>
      <c r="AG163" s="2">
        <v>1.94</v>
      </c>
      <c r="AH163" s="2">
        <v>23</v>
      </c>
      <c r="AI163" s="2">
        <v>5.6323299999999996E-3</v>
      </c>
      <c r="AJ163" s="2">
        <f t="shared" si="5"/>
        <v>244.88391304347823</v>
      </c>
      <c r="AK163" s="2">
        <v>5.93</v>
      </c>
      <c r="AL163" s="2" t="s">
        <v>116</v>
      </c>
      <c r="AM163" s="2" t="s">
        <v>128</v>
      </c>
      <c r="AN163" s="2" t="s">
        <v>193</v>
      </c>
      <c r="AO163" s="2" t="s">
        <v>211</v>
      </c>
    </row>
    <row r="164" spans="1:41" x14ac:dyDescent="0.35">
      <c r="A164" s="2" t="s">
        <v>194</v>
      </c>
      <c r="B164" s="2" t="s">
        <v>55</v>
      </c>
      <c r="C164" s="2">
        <v>-70.5</v>
      </c>
      <c r="D164" s="2">
        <v>65.7</v>
      </c>
      <c r="E164" s="2">
        <v>82.57638315441794</v>
      </c>
      <c r="F164" s="2">
        <v>5.5393781606131558</v>
      </c>
      <c r="G164" s="2">
        <v>26.826197452669192</v>
      </c>
      <c r="H164" s="2">
        <v>10.255006486728973</v>
      </c>
      <c r="I164" s="2">
        <v>19.509530405603158</v>
      </c>
      <c r="J164" s="2">
        <v>5.5393781606131558</v>
      </c>
      <c r="K164" s="2">
        <v>17</v>
      </c>
      <c r="L164" s="2" t="s">
        <v>131</v>
      </c>
      <c r="M164" s="2" t="s">
        <v>131</v>
      </c>
      <c r="N164" s="2" t="s">
        <v>209</v>
      </c>
      <c r="O164" s="2" t="s">
        <v>126</v>
      </c>
      <c r="P164" s="2">
        <v>16</v>
      </c>
      <c r="Q164" s="2" t="s">
        <v>123</v>
      </c>
      <c r="R164" s="2">
        <v>64.040166666666678</v>
      </c>
      <c r="S164" s="2">
        <v>0.62155555555555564</v>
      </c>
      <c r="T164" s="2">
        <v>24.8823333333333</v>
      </c>
      <c r="U164" s="2">
        <v>0.68637500000000007</v>
      </c>
      <c r="V164" s="2">
        <v>0.55200000000000005</v>
      </c>
      <c r="W164" s="2">
        <v>0.67900000000000005</v>
      </c>
      <c r="X164" s="2">
        <v>31.450749999999999</v>
      </c>
      <c r="Y164" s="2">
        <v>23.937999999999999</v>
      </c>
      <c r="Z164" s="2">
        <v>30.221</v>
      </c>
      <c r="AA164" s="2">
        <v>46.08925</v>
      </c>
      <c r="AB164" s="2">
        <v>68.394999999999996</v>
      </c>
      <c r="AC164" s="2">
        <v>44.817</v>
      </c>
      <c r="AD164" s="2">
        <f>72.3-69.4</f>
        <v>2.8999999999999915</v>
      </c>
      <c r="AE164" s="2">
        <f>(327-217.2)/2</f>
        <v>54.900000000000006</v>
      </c>
      <c r="AF164" s="2">
        <f>58.5-55.9</f>
        <v>2.6000000000000014</v>
      </c>
      <c r="AG164" s="2">
        <v>2.7</v>
      </c>
      <c r="AH164" s="2">
        <v>15</v>
      </c>
      <c r="AI164" s="2">
        <v>6.8065599999999997E-3</v>
      </c>
      <c r="AJ164" s="2">
        <f t="shared" si="5"/>
        <v>453.77066666666661</v>
      </c>
      <c r="AK164" s="2">
        <v>4.9000000000000004</v>
      </c>
      <c r="AL164" s="2" t="s">
        <v>116</v>
      </c>
      <c r="AM164" s="2" t="s">
        <v>128</v>
      </c>
      <c r="AN164" s="2" t="s">
        <v>194</v>
      </c>
      <c r="AO164" s="2" t="s">
        <v>212</v>
      </c>
    </row>
    <row r="165" spans="1:41" x14ac:dyDescent="0.35">
      <c r="A165" s="2" t="s">
        <v>194</v>
      </c>
      <c r="B165" s="2" t="s">
        <v>55</v>
      </c>
      <c r="C165" s="2">
        <v>-69.2</v>
      </c>
      <c r="D165" s="2">
        <v>66.099999999999994</v>
      </c>
      <c r="E165" s="2">
        <v>162.65452179570602</v>
      </c>
      <c r="F165" s="2">
        <v>51.525114526463852</v>
      </c>
      <c r="G165" s="2">
        <v>69.384185018730605</v>
      </c>
      <c r="H165" s="2">
        <v>22.612100172500991</v>
      </c>
      <c r="I165" s="2">
        <v>60.437567992264228</v>
      </c>
      <c r="J165" s="2">
        <v>18.657191638808293</v>
      </c>
      <c r="K165" s="2">
        <v>33</v>
      </c>
      <c r="L165" s="2" t="s">
        <v>81</v>
      </c>
      <c r="M165" s="2" t="s">
        <v>132</v>
      </c>
      <c r="N165" s="2" t="s">
        <v>209</v>
      </c>
      <c r="O165" s="2" t="s">
        <v>126</v>
      </c>
      <c r="P165" s="2">
        <v>16</v>
      </c>
      <c r="Q165" s="2" t="s">
        <v>123</v>
      </c>
      <c r="R165" s="2">
        <v>67.459687500000001</v>
      </c>
      <c r="S165" s="2">
        <v>0.53062500000000012</v>
      </c>
      <c r="T165" s="2">
        <v>26.3035</v>
      </c>
      <c r="U165" s="2">
        <v>0.7028695652173913</v>
      </c>
      <c r="V165" s="2">
        <v>0.51700000000000002</v>
      </c>
      <c r="W165" s="2">
        <v>0.67</v>
      </c>
      <c r="X165" s="2">
        <v>27.224608695652201</v>
      </c>
      <c r="Y165" s="2">
        <v>26.846</v>
      </c>
      <c r="Z165" s="2">
        <v>29.116</v>
      </c>
      <c r="AA165" s="2">
        <v>44.042043478260879</v>
      </c>
      <c r="AB165" s="2">
        <v>67.748000000000005</v>
      </c>
      <c r="AC165" s="2">
        <v>39.11</v>
      </c>
      <c r="AD165" s="2">
        <v>0</v>
      </c>
      <c r="AE165" s="2">
        <v>0</v>
      </c>
      <c r="AF165" s="2">
        <f>57.6-54.4</f>
        <v>3.2000000000000028</v>
      </c>
      <c r="AG165" s="2">
        <v>2.9</v>
      </c>
      <c r="AH165" s="2">
        <v>8</v>
      </c>
      <c r="AI165" s="2">
        <v>6.6823400000000002E-3</v>
      </c>
      <c r="AJ165" s="2">
        <f t="shared" si="5"/>
        <v>835.29250000000002</v>
      </c>
      <c r="AK165" s="2">
        <v>6</v>
      </c>
      <c r="AL165" s="2" t="s">
        <v>116</v>
      </c>
      <c r="AM165" s="2" t="s">
        <v>128</v>
      </c>
      <c r="AN165" s="2" t="s">
        <v>194</v>
      </c>
      <c r="AO165" s="2" t="s">
        <v>212</v>
      </c>
    </row>
    <row r="166" spans="1:41" x14ac:dyDescent="0.35">
      <c r="A166" s="2" t="s">
        <v>195</v>
      </c>
      <c r="B166" s="2" t="s">
        <v>57</v>
      </c>
      <c r="C166" s="2">
        <v>-64.3</v>
      </c>
      <c r="D166" s="2">
        <v>66.5</v>
      </c>
      <c r="E166" s="2">
        <v>155.73898146706139</v>
      </c>
      <c r="F166" s="2">
        <v>169.53908825771128</v>
      </c>
      <c r="G166" s="2">
        <v>95.210249437212724</v>
      </c>
      <c r="H166" s="2">
        <v>74.511015205348173</v>
      </c>
      <c r="I166" s="2">
        <v>80.463469584808522</v>
      </c>
      <c r="J166" s="2">
        <v>65.757390360438947</v>
      </c>
      <c r="K166" s="2">
        <v>34</v>
      </c>
      <c r="L166" s="2" t="s">
        <v>131</v>
      </c>
      <c r="M166" s="2" t="s">
        <v>131</v>
      </c>
      <c r="N166" s="2" t="s">
        <v>209</v>
      </c>
      <c r="O166" s="2" t="s">
        <v>126</v>
      </c>
      <c r="P166" s="2">
        <v>15</v>
      </c>
      <c r="Q166" s="2" t="s">
        <v>123</v>
      </c>
      <c r="R166" s="2">
        <v>96.106812500000018</v>
      </c>
      <c r="S166" s="2">
        <v>0.70643750000000005</v>
      </c>
      <c r="T166" s="2">
        <v>17.735250000000001</v>
      </c>
      <c r="U166" s="2">
        <v>0.98080769230769227</v>
      </c>
      <c r="V166" s="2">
        <v>0.72199999999999998</v>
      </c>
      <c r="W166" s="2">
        <v>1.018</v>
      </c>
      <c r="X166" s="2">
        <v>20.081346153846201</v>
      </c>
      <c r="Y166" s="2">
        <v>15.958</v>
      </c>
      <c r="Z166" s="2">
        <v>20.876000000000001</v>
      </c>
      <c r="AA166" s="2">
        <v>58.408499999999997</v>
      </c>
      <c r="AB166" s="2">
        <v>93.323999999999998</v>
      </c>
      <c r="AC166" s="2">
        <v>53.03</v>
      </c>
      <c r="AD166" s="2" t="s">
        <v>106</v>
      </c>
      <c r="AE166" s="2" t="s">
        <v>106</v>
      </c>
      <c r="AF166" s="2" t="s">
        <v>106</v>
      </c>
      <c r="AG166" s="2">
        <v>0.16</v>
      </c>
      <c r="AH166" s="2">
        <v>48</v>
      </c>
      <c r="AI166" s="2">
        <v>7.2831099999999998E-3</v>
      </c>
      <c r="AJ166" s="2">
        <f t="shared" si="5"/>
        <v>151.73145833333334</v>
      </c>
      <c r="AK166" s="2">
        <v>1.8</v>
      </c>
      <c r="AL166" s="2" t="s">
        <v>116</v>
      </c>
      <c r="AM166" s="2" t="s">
        <v>128</v>
      </c>
      <c r="AN166" s="2" t="s">
        <v>195</v>
      </c>
      <c r="AO166" s="2" t="s">
        <v>211</v>
      </c>
    </row>
    <row r="167" spans="1:41" x14ac:dyDescent="0.35">
      <c r="A167" s="2" t="s">
        <v>195</v>
      </c>
      <c r="B167" s="2" t="s">
        <v>57</v>
      </c>
      <c r="C167" s="2">
        <v>-61.4</v>
      </c>
      <c r="D167" s="2">
        <v>66.900000000000006</v>
      </c>
      <c r="E167" s="2">
        <v>159.00779138177802</v>
      </c>
      <c r="F167" s="2">
        <v>154.50493109529111</v>
      </c>
      <c r="G167" s="2">
        <v>102.18120008325715</v>
      </c>
      <c r="H167" s="2">
        <v>99.21323232018517</v>
      </c>
      <c r="I167" s="2">
        <v>87.267649882188209</v>
      </c>
      <c r="J167" s="2">
        <v>92.84942560398801</v>
      </c>
      <c r="K167" s="2">
        <v>49</v>
      </c>
      <c r="L167" s="2" t="s">
        <v>81</v>
      </c>
      <c r="M167" s="2" t="s">
        <v>132</v>
      </c>
      <c r="N167" s="2" t="s">
        <v>209</v>
      </c>
      <c r="O167" s="2" t="s">
        <v>126</v>
      </c>
      <c r="P167" s="2">
        <v>15</v>
      </c>
      <c r="Q167" s="2" t="s">
        <v>123</v>
      </c>
      <c r="R167" s="2">
        <v>95.000214285714279</v>
      </c>
      <c r="S167" s="2">
        <v>0.67285714285714293</v>
      </c>
      <c r="T167" s="2">
        <v>17.628499999999999</v>
      </c>
      <c r="U167" s="2">
        <v>0.91253571428571434</v>
      </c>
      <c r="V167" s="2">
        <v>0.68500000000000005</v>
      </c>
      <c r="W167" s="2">
        <v>0.94899999999999995</v>
      </c>
      <c r="X167" s="2">
        <v>20.3943571428571</v>
      </c>
      <c r="Y167" s="2">
        <v>17.395</v>
      </c>
      <c r="Z167" s="2">
        <v>20.856000000000002</v>
      </c>
      <c r="AA167" s="2">
        <v>59.578892857142854</v>
      </c>
      <c r="AB167" s="2">
        <v>92.253</v>
      </c>
      <c r="AC167" s="2">
        <v>55.854999999999997</v>
      </c>
      <c r="AD167" s="2" t="s">
        <v>106</v>
      </c>
      <c r="AE167" s="2" t="s">
        <v>106</v>
      </c>
      <c r="AF167" s="2" t="s">
        <v>106</v>
      </c>
      <c r="AG167" s="2">
        <v>0.06</v>
      </c>
      <c r="AH167" s="2">
        <v>61</v>
      </c>
      <c r="AI167" s="2">
        <v>6.7904899999999997E-3</v>
      </c>
      <c r="AJ167" s="2">
        <f t="shared" si="5"/>
        <v>111.3195081967213</v>
      </c>
      <c r="AK167" s="2">
        <v>1.55</v>
      </c>
      <c r="AL167" s="2" t="s">
        <v>116</v>
      </c>
      <c r="AM167" s="2" t="s">
        <v>128</v>
      </c>
      <c r="AN167" s="2" t="s">
        <v>195</v>
      </c>
      <c r="AO167" s="2" t="s">
        <v>211</v>
      </c>
    </row>
    <row r="168" spans="1:41" x14ac:dyDescent="0.35">
      <c r="A168" s="2" t="s">
        <v>195</v>
      </c>
      <c r="B168" s="2" t="s">
        <v>56</v>
      </c>
      <c r="C168" s="2">
        <v>-69</v>
      </c>
      <c r="D168" s="2">
        <v>67.3</v>
      </c>
      <c r="E168" s="2">
        <v>165.61775422325243</v>
      </c>
      <c r="F168" s="2">
        <v>73.410077736411168</v>
      </c>
      <c r="G168" s="2">
        <v>70.216164718350925</v>
      </c>
      <c r="H168" s="2">
        <v>17.213218113338858</v>
      </c>
      <c r="I168" s="2">
        <v>81.274382314694392</v>
      </c>
      <c r="J168" s="2">
        <v>29.476605964175185</v>
      </c>
      <c r="K168" s="2">
        <v>33</v>
      </c>
      <c r="L168" s="2" t="s">
        <v>131</v>
      </c>
      <c r="M168" s="2" t="s">
        <v>131</v>
      </c>
      <c r="N168" s="2" t="s">
        <v>209</v>
      </c>
      <c r="O168" s="2" t="s">
        <v>126</v>
      </c>
      <c r="P168" s="2">
        <v>15</v>
      </c>
      <c r="Q168" s="2" t="s">
        <v>123</v>
      </c>
      <c r="R168" s="2">
        <v>89.828062499999973</v>
      </c>
      <c r="S168" s="2">
        <v>0.80499999999999994</v>
      </c>
      <c r="T168" s="2">
        <v>8.0789375000000003</v>
      </c>
      <c r="U168" s="2">
        <v>0.99419999999999986</v>
      </c>
      <c r="V168" s="2">
        <v>0.85499999999999998</v>
      </c>
      <c r="W168" s="2">
        <v>0.95799999999999996</v>
      </c>
      <c r="X168" s="2">
        <v>12.88875</v>
      </c>
      <c r="Y168" s="2">
        <v>4.1470000000000002</v>
      </c>
      <c r="Z168" s="2">
        <v>14.648</v>
      </c>
      <c r="AA168" s="2">
        <v>64.780500000000004</v>
      </c>
      <c r="AB168" s="2">
        <v>88.158000000000001</v>
      </c>
      <c r="AC168" s="2">
        <v>64.989999999999995</v>
      </c>
      <c r="AD168" s="2">
        <f>73.8-70.5</f>
        <v>3.2999999999999972</v>
      </c>
      <c r="AE168" s="2">
        <f>(360.7-223.4)/2</f>
        <v>68.649999999999991</v>
      </c>
      <c r="AF168" s="2">
        <f>58.7-57.3</f>
        <v>1.4000000000000057</v>
      </c>
      <c r="AG168" s="2">
        <v>0.56000000000000005</v>
      </c>
      <c r="AH168" s="2">
        <v>38</v>
      </c>
      <c r="AI168" s="2">
        <v>1.79787E-2</v>
      </c>
      <c r="AJ168" s="2">
        <f t="shared" si="5"/>
        <v>473.12368421052633</v>
      </c>
      <c r="AK168" s="2">
        <v>4.7</v>
      </c>
      <c r="AL168" s="2" t="s">
        <v>116</v>
      </c>
      <c r="AM168" s="2" t="s">
        <v>128</v>
      </c>
      <c r="AN168" s="2" t="s">
        <v>195</v>
      </c>
      <c r="AO168" s="2" t="s">
        <v>211</v>
      </c>
    </row>
    <row r="169" spans="1:41" x14ac:dyDescent="0.35">
      <c r="A169" s="2" t="s">
        <v>195</v>
      </c>
      <c r="B169" s="2" t="s">
        <v>56</v>
      </c>
      <c r="C169" s="2">
        <v>-70.8</v>
      </c>
      <c r="D169" s="2">
        <v>67.7</v>
      </c>
      <c r="E169" s="2">
        <v>165.01650165016494</v>
      </c>
      <c r="F169" s="2">
        <v>69.79502438703156</v>
      </c>
      <c r="G169" s="2">
        <v>77.270819205033874</v>
      </c>
      <c r="H169" s="2">
        <v>27.116256979267721</v>
      </c>
      <c r="I169" s="2">
        <v>70.98743522396542</v>
      </c>
      <c r="J169" s="2">
        <v>23.804296386353943</v>
      </c>
      <c r="K169" s="2">
        <v>40</v>
      </c>
      <c r="L169" s="2" t="s">
        <v>81</v>
      </c>
      <c r="M169" s="2" t="s">
        <v>132</v>
      </c>
      <c r="N169" s="2" t="s">
        <v>209</v>
      </c>
      <c r="O169" s="2" t="s">
        <v>126</v>
      </c>
      <c r="P169" s="2">
        <v>15</v>
      </c>
      <c r="Q169" s="2" t="s">
        <v>123</v>
      </c>
      <c r="R169" s="2">
        <v>85.541799999999995</v>
      </c>
      <c r="S169" s="2">
        <v>0.79804999999999993</v>
      </c>
      <c r="T169" s="2">
        <v>7.9786999999999999</v>
      </c>
      <c r="U169" s="2">
        <v>1.3120588235294119</v>
      </c>
      <c r="V169" s="2">
        <v>0.83</v>
      </c>
      <c r="W169" s="2">
        <v>1.2769999999999999</v>
      </c>
      <c r="X169" s="2">
        <v>10.6128529411765</v>
      </c>
      <c r="Y169" s="2">
        <v>4.1680000000000001</v>
      </c>
      <c r="Z169" s="2">
        <v>10.682</v>
      </c>
      <c r="AA169" s="2">
        <v>44.901941176470572</v>
      </c>
      <c r="AB169" s="2">
        <v>84.525999999999996</v>
      </c>
      <c r="AC169" s="2">
        <v>46.231000000000002</v>
      </c>
      <c r="AD169" s="2">
        <v>0</v>
      </c>
      <c r="AE169" s="2">
        <v>0</v>
      </c>
      <c r="AF169" s="2">
        <f>57.1-55.2</f>
        <v>1.8999999999999986</v>
      </c>
      <c r="AG169" s="2">
        <v>0.9</v>
      </c>
      <c r="AH169" s="2">
        <v>31</v>
      </c>
      <c r="AI169" s="2">
        <v>1.2581200000000001E-2</v>
      </c>
      <c r="AJ169" s="2">
        <f t="shared" si="5"/>
        <v>405.84516129032261</v>
      </c>
      <c r="AK169" s="2">
        <v>4.0999999999999996</v>
      </c>
      <c r="AL169" s="2" t="s">
        <v>116</v>
      </c>
      <c r="AM169" s="2" t="s">
        <v>128</v>
      </c>
      <c r="AN169" s="2" t="s">
        <v>195</v>
      </c>
      <c r="AO169" s="2" t="s">
        <v>211</v>
      </c>
    </row>
    <row r="170" spans="1:41" x14ac:dyDescent="0.35">
      <c r="A170" s="2" t="s">
        <v>196</v>
      </c>
      <c r="B170" s="2" t="s">
        <v>58</v>
      </c>
      <c r="C170" s="2">
        <v>-64.599999999999994</v>
      </c>
      <c r="D170" s="2">
        <v>68.099999999999994</v>
      </c>
      <c r="E170" s="2">
        <v>144.15453366008336</v>
      </c>
      <c r="F170" s="2">
        <v>68.791824032019363</v>
      </c>
      <c r="G170" s="2">
        <v>55.045061602590437</v>
      </c>
      <c r="H170" s="2">
        <v>20.92486316758535</v>
      </c>
      <c r="I170" s="2">
        <v>45.983354025842495</v>
      </c>
      <c r="J170" s="2">
        <v>16.057670828231025</v>
      </c>
      <c r="K170" s="2">
        <v>26</v>
      </c>
      <c r="L170" s="2" t="s">
        <v>131</v>
      </c>
      <c r="M170" s="2" t="s">
        <v>131</v>
      </c>
      <c r="N170" s="2" t="s">
        <v>209</v>
      </c>
      <c r="O170" s="2" t="s">
        <v>126</v>
      </c>
      <c r="P170" s="2">
        <v>14</v>
      </c>
      <c r="Q170" s="2" t="s">
        <v>123</v>
      </c>
      <c r="R170" s="2">
        <v>65.542000000000002</v>
      </c>
      <c r="S170" s="2">
        <v>0.74713333333333332</v>
      </c>
      <c r="T170" s="2">
        <v>27.027933333333301</v>
      </c>
      <c r="U170" s="2">
        <v>0.95899999999999985</v>
      </c>
      <c r="V170" s="2">
        <v>0.77200000000000002</v>
      </c>
      <c r="W170" s="2">
        <v>0.95</v>
      </c>
      <c r="X170" s="2">
        <v>25.073071428571399</v>
      </c>
      <c r="Y170" s="2">
        <v>21.683</v>
      </c>
      <c r="Z170" s="2">
        <v>24.202999999999999</v>
      </c>
      <c r="AA170" s="2">
        <v>45.482000000000006</v>
      </c>
      <c r="AB170" s="2">
        <v>66.052000000000007</v>
      </c>
      <c r="AC170" s="2">
        <v>46.874000000000002</v>
      </c>
      <c r="AD170" s="2">
        <f>68.66-62.9</f>
        <v>5.759999999999998</v>
      </c>
      <c r="AE170" s="2">
        <f>(364.8-216.1)/2</f>
        <v>74.350000000000009</v>
      </c>
      <c r="AF170" s="2">
        <f>57.2-55.8</f>
        <v>1.4000000000000057</v>
      </c>
      <c r="AG170" s="2">
        <v>0.18</v>
      </c>
      <c r="AH170" s="2">
        <v>34</v>
      </c>
      <c r="AI170" s="2">
        <v>6.8193799999999999E-3</v>
      </c>
      <c r="AJ170" s="2">
        <f t="shared" si="5"/>
        <v>200.57</v>
      </c>
      <c r="AK170" s="2">
        <v>3.2</v>
      </c>
      <c r="AL170" s="2" t="s">
        <v>116</v>
      </c>
      <c r="AM170" s="2" t="s">
        <v>128</v>
      </c>
      <c r="AN170" s="2" t="s">
        <v>196</v>
      </c>
      <c r="AO170" s="2" t="s">
        <v>211</v>
      </c>
    </row>
    <row r="171" spans="1:41" x14ac:dyDescent="0.35">
      <c r="A171" s="2" t="s">
        <v>196</v>
      </c>
      <c r="B171" s="2" t="s">
        <v>58</v>
      </c>
      <c r="C171" s="2">
        <v>-63.2</v>
      </c>
      <c r="D171" s="2">
        <v>68.5</v>
      </c>
      <c r="E171" s="2">
        <v>120.3191283766336</v>
      </c>
      <c r="F171" s="2">
        <v>64.104304737354411</v>
      </c>
      <c r="G171" s="2">
        <v>120.3191283766336</v>
      </c>
      <c r="H171" s="2">
        <v>64.104304737354411</v>
      </c>
      <c r="I171" s="2">
        <v>95.102234902520337</v>
      </c>
      <c r="J171" s="2">
        <v>50.094919473958157</v>
      </c>
      <c r="K171" s="2">
        <v>34</v>
      </c>
      <c r="L171" s="2" t="s">
        <v>81</v>
      </c>
      <c r="M171" s="2" t="s">
        <v>132</v>
      </c>
      <c r="N171" s="2" t="s">
        <v>209</v>
      </c>
      <c r="O171" s="2" t="s">
        <v>126</v>
      </c>
      <c r="P171" s="2">
        <v>14</v>
      </c>
      <c r="Q171" s="2" t="s">
        <v>123</v>
      </c>
      <c r="R171" s="2">
        <v>65.084294117647062</v>
      </c>
      <c r="S171" s="2">
        <v>0.7199411764705882</v>
      </c>
      <c r="T171" s="2">
        <v>26.080705882352898</v>
      </c>
      <c r="U171" s="2">
        <v>1.0174482758620687</v>
      </c>
      <c r="V171" s="2">
        <v>0.76200000000000001</v>
      </c>
      <c r="W171" s="2">
        <v>0.94599999999999995</v>
      </c>
      <c r="X171" s="2">
        <v>23.482275862068999</v>
      </c>
      <c r="Y171" s="2">
        <v>19.844000000000001</v>
      </c>
      <c r="Z171" s="2">
        <v>24.068000000000001</v>
      </c>
      <c r="AA171" s="2">
        <v>38.213241379310347</v>
      </c>
      <c r="AB171" s="2">
        <v>67.748999999999995</v>
      </c>
      <c r="AC171" s="2">
        <v>45.207000000000001</v>
      </c>
      <c r="AD171" s="2">
        <f>64.5-62.8</f>
        <v>1.7000000000000028</v>
      </c>
      <c r="AE171" s="2">
        <f>(290.4-223.1)/2</f>
        <v>33.649999999999991</v>
      </c>
      <c r="AF171" s="2">
        <f>56.5-54.9</f>
        <v>1.6000000000000014</v>
      </c>
      <c r="AG171" s="2">
        <v>0.26</v>
      </c>
      <c r="AH171" s="2">
        <v>25</v>
      </c>
      <c r="AI171" s="2">
        <v>7.9336500000000004E-3</v>
      </c>
      <c r="AJ171" s="2">
        <f t="shared" si="5"/>
        <v>317.34600000000006</v>
      </c>
      <c r="AK171" s="2">
        <v>2.6</v>
      </c>
      <c r="AL171" s="2" t="s">
        <v>116</v>
      </c>
      <c r="AM171" s="2" t="s">
        <v>128</v>
      </c>
      <c r="AN171" s="2" t="s">
        <v>196</v>
      </c>
      <c r="AO171" s="2" t="s">
        <v>211</v>
      </c>
    </row>
    <row r="172" spans="1:41" x14ac:dyDescent="0.35">
      <c r="A172" s="2" t="s">
        <v>196</v>
      </c>
      <c r="B172" s="2" t="s">
        <v>59</v>
      </c>
      <c r="C172" s="2">
        <v>-63.8</v>
      </c>
      <c r="D172" s="2">
        <v>68.900000000000006</v>
      </c>
      <c r="E172" s="2">
        <v>223.61359570661998</v>
      </c>
      <c r="F172" s="2">
        <v>62.114887696283326</v>
      </c>
      <c r="G172" s="2">
        <v>102.09141723987297</v>
      </c>
      <c r="H172" s="2">
        <v>28.358727011075825</v>
      </c>
      <c r="I172" s="2">
        <v>89.839187853742033</v>
      </c>
      <c r="J172" s="2">
        <v>22.507452611736017</v>
      </c>
      <c r="K172" s="2">
        <v>51</v>
      </c>
      <c r="L172" s="2" t="s">
        <v>131</v>
      </c>
      <c r="M172" s="2" t="s">
        <v>131</v>
      </c>
      <c r="N172" s="2" t="s">
        <v>209</v>
      </c>
      <c r="O172" s="2" t="s">
        <v>126</v>
      </c>
      <c r="P172" s="2">
        <v>14</v>
      </c>
      <c r="Q172" s="2" t="s">
        <v>123</v>
      </c>
      <c r="R172" s="2">
        <v>79.441249999999997</v>
      </c>
      <c r="S172" s="2">
        <v>0.71756249999999999</v>
      </c>
      <c r="T172" s="2">
        <v>7.8172499999999996</v>
      </c>
      <c r="U172" s="2">
        <v>0.82214285714285718</v>
      </c>
      <c r="V172" s="2">
        <v>0.69</v>
      </c>
      <c r="W172" s="2">
        <v>0.77100000000000002</v>
      </c>
      <c r="X172" s="2">
        <v>14.797542857142901</v>
      </c>
      <c r="Y172" s="2">
        <v>7.72</v>
      </c>
      <c r="Z172" s="2">
        <v>18.895</v>
      </c>
      <c r="AA172" s="2">
        <v>57.61871428571429</v>
      </c>
      <c r="AB172" s="2">
        <v>79.706000000000003</v>
      </c>
      <c r="AC172" s="2">
        <v>55.515999999999998</v>
      </c>
      <c r="AD172" s="2">
        <f>66.5-65.1</f>
        <v>1.4000000000000057</v>
      </c>
      <c r="AE172" s="2">
        <f>(467.7-240.2)/2</f>
        <v>113.75</v>
      </c>
      <c r="AF172" s="2">
        <f>54.7-51.6</f>
        <v>3.1000000000000014</v>
      </c>
      <c r="AG172" s="2">
        <v>0.6</v>
      </c>
      <c r="AH172" s="2">
        <v>34</v>
      </c>
      <c r="AI172" s="2">
        <v>1.20264E-2</v>
      </c>
      <c r="AJ172" s="2">
        <f t="shared" si="5"/>
        <v>353.71764705882356</v>
      </c>
      <c r="AK172" s="2">
        <v>5.0999999999999996</v>
      </c>
      <c r="AL172" s="2" t="s">
        <v>116</v>
      </c>
      <c r="AM172" s="2" t="s">
        <v>128</v>
      </c>
      <c r="AN172" s="2" t="s">
        <v>196</v>
      </c>
      <c r="AO172" s="2" t="s">
        <v>211</v>
      </c>
    </row>
    <row r="173" spans="1:41" x14ac:dyDescent="0.35">
      <c r="A173" s="2" t="s">
        <v>196</v>
      </c>
      <c r="B173" s="2" t="s">
        <v>59</v>
      </c>
      <c r="C173" s="2">
        <v>-67.2</v>
      </c>
      <c r="D173" s="2">
        <v>69.3</v>
      </c>
      <c r="E173" s="2">
        <v>232.55813953488311</v>
      </c>
      <c r="F173" s="2">
        <v>64.599483204134202</v>
      </c>
      <c r="G173" s="2">
        <v>119.29158824616462</v>
      </c>
      <c r="H173" s="2">
        <v>33.04371295949079</v>
      </c>
      <c r="I173" s="2">
        <v>107.55001075500105</v>
      </c>
      <c r="J173" s="2">
        <v>34.129180154785864</v>
      </c>
      <c r="K173" s="2">
        <v>61</v>
      </c>
      <c r="L173" s="2" t="s">
        <v>81</v>
      </c>
      <c r="M173" s="2" t="s">
        <v>132</v>
      </c>
      <c r="N173" s="2" t="s">
        <v>209</v>
      </c>
      <c r="O173" s="2" t="s">
        <v>126</v>
      </c>
      <c r="P173" s="2">
        <v>14</v>
      </c>
      <c r="Q173" s="2" t="s">
        <v>123</v>
      </c>
      <c r="R173" s="2">
        <v>87.569437500000006</v>
      </c>
      <c r="S173" s="2">
        <v>0.60506250000000006</v>
      </c>
      <c r="T173" s="2">
        <v>9.0254375000000007</v>
      </c>
      <c r="U173" s="2">
        <v>0.78637499999999971</v>
      </c>
      <c r="V173" s="2">
        <v>0.629</v>
      </c>
      <c r="W173" s="2">
        <v>0.69799999999999995</v>
      </c>
      <c r="X173" s="2">
        <v>14.394937499999999</v>
      </c>
      <c r="Y173" s="2">
        <v>4.7789999999999999</v>
      </c>
      <c r="Z173" s="2">
        <v>16.835999999999999</v>
      </c>
      <c r="AA173" s="2">
        <v>56.950312499999995</v>
      </c>
      <c r="AB173" s="2">
        <v>88.644999999999996</v>
      </c>
      <c r="AC173" s="2">
        <v>62.927999999999997</v>
      </c>
      <c r="AD173" s="2">
        <v>0</v>
      </c>
      <c r="AE173" s="2">
        <v>0</v>
      </c>
      <c r="AF173" s="2">
        <f>53.66-50.04</f>
        <v>3.6199999999999974</v>
      </c>
      <c r="AG173" s="2">
        <v>1.5</v>
      </c>
      <c r="AH173" s="2">
        <v>14</v>
      </c>
      <c r="AI173" s="2">
        <v>1.0204700000000001E-2</v>
      </c>
      <c r="AJ173" s="2">
        <f t="shared" si="5"/>
        <v>728.90714285714284</v>
      </c>
      <c r="AK173" s="2">
        <v>5.8</v>
      </c>
      <c r="AL173" s="2" t="s">
        <v>116</v>
      </c>
      <c r="AM173" s="2" t="s">
        <v>128</v>
      </c>
      <c r="AN173" s="2" t="s">
        <v>196</v>
      </c>
      <c r="AO173" s="2" t="s">
        <v>211</v>
      </c>
    </row>
    <row r="174" spans="1:41" x14ac:dyDescent="0.35">
      <c r="A174" s="2" t="s">
        <v>197</v>
      </c>
      <c r="B174" s="2" t="s">
        <v>61</v>
      </c>
      <c r="C174" s="2">
        <v>-66.099999999999994</v>
      </c>
      <c r="D174" s="2">
        <v>69.7</v>
      </c>
      <c r="E174" s="2">
        <v>182.14936247723196</v>
      </c>
      <c r="F174" s="2">
        <v>107.58841014456104</v>
      </c>
      <c r="G174" s="2">
        <v>116.04991529685353</v>
      </c>
      <c r="H174" s="2">
        <v>65.793921422879976</v>
      </c>
      <c r="I174" s="2">
        <v>102.93360782295507</v>
      </c>
      <c r="J174" s="2">
        <v>58.078563485637993</v>
      </c>
      <c r="K174" s="2">
        <v>57</v>
      </c>
      <c r="L174" s="2" t="s">
        <v>131</v>
      </c>
      <c r="M174" s="2" t="s">
        <v>131</v>
      </c>
      <c r="N174" s="2" t="s">
        <v>209</v>
      </c>
      <c r="O174" s="2" t="s">
        <v>126</v>
      </c>
      <c r="P174" s="2">
        <v>18</v>
      </c>
      <c r="Q174" s="2" t="s">
        <v>123</v>
      </c>
      <c r="R174" s="2">
        <v>100.02218750000002</v>
      </c>
      <c r="S174" s="2">
        <v>0.6151875</v>
      </c>
      <c r="T174" s="2">
        <v>17.2080625</v>
      </c>
      <c r="U174" s="2">
        <v>0.73082352941176487</v>
      </c>
      <c r="V174" s="2">
        <v>0.61199999999999999</v>
      </c>
      <c r="W174" s="2">
        <v>0.74099999999999999</v>
      </c>
      <c r="X174" s="2">
        <v>21.2752058823529</v>
      </c>
      <c r="Y174" s="2">
        <v>16.545999999999999</v>
      </c>
      <c r="Z174" s="2">
        <v>24.414000000000001</v>
      </c>
      <c r="AA174" s="2">
        <v>65.051999999999992</v>
      </c>
      <c r="AB174" s="2">
        <v>94.953000000000003</v>
      </c>
      <c r="AC174" s="2">
        <v>57.401000000000003</v>
      </c>
      <c r="AD174" s="2">
        <f>71.5-68.3</f>
        <v>3.2000000000000028</v>
      </c>
      <c r="AE174" s="2">
        <f>(279.8-209)/2</f>
        <v>35.400000000000006</v>
      </c>
      <c r="AF174" s="2">
        <f>67.5-65.8</f>
        <v>1.7000000000000028</v>
      </c>
      <c r="AG174" s="2">
        <v>0.25</v>
      </c>
      <c r="AH174" s="2">
        <v>58</v>
      </c>
      <c r="AI174" s="2">
        <v>6.3595199999999996E-3</v>
      </c>
      <c r="AJ174" s="2">
        <f t="shared" si="5"/>
        <v>109.64689655172414</v>
      </c>
      <c r="AK174" s="2">
        <v>2.5</v>
      </c>
      <c r="AL174" s="2" t="s">
        <v>116</v>
      </c>
      <c r="AM174" s="2" t="s">
        <v>128</v>
      </c>
      <c r="AN174" s="2" t="s">
        <v>197</v>
      </c>
      <c r="AO174" s="2" t="s">
        <v>212</v>
      </c>
    </row>
    <row r="175" spans="1:41" x14ac:dyDescent="0.35">
      <c r="A175" s="2" t="s">
        <v>197</v>
      </c>
      <c r="B175" s="2" t="s">
        <v>61</v>
      </c>
      <c r="C175" s="2">
        <v>-69.900000000000006</v>
      </c>
      <c r="D175" s="2">
        <v>70.099999999999994</v>
      </c>
      <c r="E175" s="2">
        <v>161.83848519177855</v>
      </c>
      <c r="F175" s="2">
        <v>98.097310333450025</v>
      </c>
      <c r="G175" s="2">
        <v>124.11942804245012</v>
      </c>
      <c r="H175" s="2">
        <v>72.705209844281811</v>
      </c>
      <c r="I175" s="2">
        <v>91.751536838242032</v>
      </c>
      <c r="J175" s="2">
        <v>39.744034657948021</v>
      </c>
      <c r="K175" s="2">
        <v>61</v>
      </c>
      <c r="L175" s="2" t="s">
        <v>81</v>
      </c>
      <c r="M175" s="2" t="s">
        <v>132</v>
      </c>
      <c r="N175" s="2" t="s">
        <v>209</v>
      </c>
      <c r="O175" s="2" t="s">
        <v>126</v>
      </c>
      <c r="P175" s="2">
        <v>18</v>
      </c>
      <c r="Q175" s="2" t="s">
        <v>123</v>
      </c>
      <c r="R175" s="2">
        <v>100.866</v>
      </c>
      <c r="S175" s="2">
        <v>0.60876923076923073</v>
      </c>
      <c r="T175" s="2">
        <v>15.5434615384615</v>
      </c>
      <c r="U175" s="2">
        <v>0.84253488372093022</v>
      </c>
      <c r="V175" s="2">
        <v>0.61399999999999999</v>
      </c>
      <c r="W175" s="2">
        <v>0.80600000000000005</v>
      </c>
      <c r="X175" s="2">
        <v>18.144906976744199</v>
      </c>
      <c r="Y175" s="2">
        <v>14.353999999999999</v>
      </c>
      <c r="Z175" s="2">
        <v>19.443999999999999</v>
      </c>
      <c r="AA175" s="2">
        <v>55.468441860465106</v>
      </c>
      <c r="AB175" s="2">
        <v>97.878</v>
      </c>
      <c r="AC175" s="2">
        <v>54.154000000000003</v>
      </c>
      <c r="AD175" s="2">
        <f>70.7-69.1</f>
        <v>1.6000000000000085</v>
      </c>
      <c r="AE175" s="2">
        <f>(258.6-212.5)/2</f>
        <v>23.050000000000011</v>
      </c>
      <c r="AF175" s="2">
        <f>66.9-64.6</f>
        <v>2.3000000000000114</v>
      </c>
      <c r="AG175" s="2">
        <v>0.35</v>
      </c>
      <c r="AH175" s="2">
        <v>36</v>
      </c>
      <c r="AI175" s="2">
        <v>6.3660399999999999E-3</v>
      </c>
      <c r="AJ175" s="2">
        <f t="shared" si="5"/>
        <v>176.83444444444444</v>
      </c>
      <c r="AK175" s="2">
        <v>2.2999999999999998</v>
      </c>
      <c r="AL175" s="2" t="s">
        <v>116</v>
      </c>
      <c r="AM175" s="2" t="s">
        <v>128</v>
      </c>
      <c r="AN175" s="2" t="s">
        <v>197</v>
      </c>
      <c r="AO175" s="2" t="s">
        <v>212</v>
      </c>
    </row>
    <row r="176" spans="1:41" x14ac:dyDescent="0.35">
      <c r="A176" s="2" t="s">
        <v>198</v>
      </c>
      <c r="B176" s="2" t="s">
        <v>62</v>
      </c>
      <c r="C176" s="2">
        <v>-65.900000000000006</v>
      </c>
      <c r="D176" s="2">
        <v>70.5</v>
      </c>
      <c r="E176" s="2">
        <v>286.3688430698748</v>
      </c>
      <c r="F176" s="2">
        <v>50.257705271568874</v>
      </c>
      <c r="G176" s="2">
        <v>104.38237096441821</v>
      </c>
      <c r="H176" s="2">
        <v>14.837715674633719</v>
      </c>
      <c r="I176" s="2">
        <v>89.381480157311501</v>
      </c>
      <c r="J176" s="2">
        <v>15.623656021513849</v>
      </c>
      <c r="K176" s="2">
        <v>50</v>
      </c>
      <c r="L176" s="2" t="s">
        <v>131</v>
      </c>
      <c r="M176" s="2" t="s">
        <v>131</v>
      </c>
      <c r="N176" s="2" t="s">
        <v>209</v>
      </c>
      <c r="O176" s="2" t="s">
        <v>126</v>
      </c>
      <c r="P176" s="2">
        <v>17</v>
      </c>
      <c r="Q176" s="2" t="s">
        <v>123</v>
      </c>
      <c r="R176" s="2">
        <v>80.588062499999978</v>
      </c>
      <c r="S176" s="2">
        <v>0.48575000000000002</v>
      </c>
      <c r="T176" s="2">
        <v>17.663625</v>
      </c>
      <c r="U176" s="2">
        <v>0.64211428571428564</v>
      </c>
      <c r="V176" s="2">
        <v>0.46600000000000003</v>
      </c>
      <c r="W176" s="2">
        <v>0.53400000000000003</v>
      </c>
      <c r="X176" s="2">
        <v>20.232285714285702</v>
      </c>
      <c r="Y176" s="2">
        <v>13.551</v>
      </c>
      <c r="Z176" s="2">
        <v>21.062999999999999</v>
      </c>
      <c r="AA176" s="2">
        <v>65.268171428571435</v>
      </c>
      <c r="AB176" s="2">
        <v>81.3</v>
      </c>
      <c r="AC176" s="2">
        <v>62.482999999999997</v>
      </c>
      <c r="AD176" s="2">
        <f>70.1-65.3</f>
        <v>4.7999999999999972</v>
      </c>
      <c r="AE176" s="2">
        <f>(269.2-209)/2</f>
        <v>30.099999999999994</v>
      </c>
      <c r="AF176" s="2">
        <f>62.7-57.7</f>
        <v>5</v>
      </c>
      <c r="AG176" s="2">
        <v>0.75</v>
      </c>
      <c r="AH176" s="2">
        <v>17</v>
      </c>
      <c r="AI176" s="2">
        <v>7.1889199999999997E-3</v>
      </c>
      <c r="AJ176" s="2">
        <f t="shared" si="5"/>
        <v>422.87764705882353</v>
      </c>
      <c r="AK176" s="2" t="s">
        <v>106</v>
      </c>
      <c r="AL176" s="2" t="s">
        <v>116</v>
      </c>
      <c r="AM176" s="2" t="s">
        <v>128</v>
      </c>
      <c r="AN176" s="2" t="s">
        <v>198</v>
      </c>
      <c r="AO176" s="2" t="s">
        <v>211</v>
      </c>
    </row>
    <row r="177" spans="1:41" x14ac:dyDescent="0.35">
      <c r="A177" s="2" t="s">
        <v>198</v>
      </c>
      <c r="B177" s="2" t="s">
        <v>62</v>
      </c>
      <c r="C177" s="2">
        <v>-66.400000000000006</v>
      </c>
      <c r="D177" s="2">
        <v>70.900000000000006</v>
      </c>
      <c r="E177" s="2">
        <v>289.26815157651197</v>
      </c>
      <c r="F177" s="2">
        <v>59.16130648267039</v>
      </c>
      <c r="G177" s="2">
        <v>153.79158935467743</v>
      </c>
      <c r="H177" s="2">
        <v>21.112598860875561</v>
      </c>
      <c r="I177" s="2">
        <v>136.93002875530397</v>
      </c>
      <c r="J177" s="2">
        <v>20.671078458114433</v>
      </c>
      <c r="K177" s="2">
        <v>76</v>
      </c>
      <c r="L177" s="2" t="s">
        <v>81</v>
      </c>
      <c r="M177" s="2" t="s">
        <v>132</v>
      </c>
      <c r="N177" s="2" t="s">
        <v>209</v>
      </c>
      <c r="O177" s="2" t="s">
        <v>126</v>
      </c>
      <c r="P177" s="2">
        <v>17</v>
      </c>
      <c r="Q177" s="2" t="s">
        <v>123</v>
      </c>
      <c r="R177" s="2">
        <v>78.984500000000011</v>
      </c>
      <c r="S177" s="2">
        <v>0.4819166666666666</v>
      </c>
      <c r="T177" s="2">
        <v>18.04</v>
      </c>
      <c r="U177" s="2">
        <v>0.66266129032258059</v>
      </c>
      <c r="V177" s="2">
        <v>0.44500000000000001</v>
      </c>
      <c r="W177" s="2">
        <v>0.49</v>
      </c>
      <c r="X177" s="2">
        <v>21.653225806451601</v>
      </c>
      <c r="Y177" s="2">
        <v>16.193000000000001</v>
      </c>
      <c r="Z177" s="2">
        <v>23.45</v>
      </c>
      <c r="AA177" s="2">
        <v>58.430274193548378</v>
      </c>
      <c r="AB177" s="2">
        <v>83.536000000000001</v>
      </c>
      <c r="AC177" s="2">
        <v>61.412999999999997</v>
      </c>
      <c r="AD177" s="2">
        <f>66.3-65.2</f>
        <v>1.0999999999999943</v>
      </c>
      <c r="AE177" s="2">
        <f>(245.3-215.8)/2</f>
        <v>14.75</v>
      </c>
      <c r="AF177" s="2">
        <f>61.3-55.4</f>
        <v>5.8999999999999986</v>
      </c>
      <c r="AG177" s="2">
        <v>1.4</v>
      </c>
      <c r="AH177" s="2">
        <v>9</v>
      </c>
      <c r="AI177" s="2">
        <v>3.5485999999999998E-3</v>
      </c>
      <c r="AJ177" s="2">
        <f t="shared" si="5"/>
        <v>394.28888888888889</v>
      </c>
      <c r="AK177" s="2" t="s">
        <v>106</v>
      </c>
      <c r="AL177" s="2" t="s">
        <v>116</v>
      </c>
      <c r="AM177" s="2" t="s">
        <v>128</v>
      </c>
      <c r="AN177" s="2" t="s">
        <v>198</v>
      </c>
      <c r="AO177" s="2" t="s">
        <v>211</v>
      </c>
    </row>
    <row r="178" spans="1:41" x14ac:dyDescent="0.35">
      <c r="A178" s="2" t="s">
        <v>198</v>
      </c>
      <c r="B178" s="2" t="s">
        <v>63</v>
      </c>
      <c r="C178" s="2">
        <v>-67.900000000000006</v>
      </c>
      <c r="D178" s="2">
        <v>71.3</v>
      </c>
      <c r="E178" s="2">
        <v>220.79929344226116</v>
      </c>
      <c r="F178" s="2">
        <v>63.959054743235058</v>
      </c>
      <c r="G178" s="2">
        <v>108.35815099240062</v>
      </c>
      <c r="H178" s="2">
        <v>26.540208437599368</v>
      </c>
      <c r="I178" s="2">
        <v>90.424088977303811</v>
      </c>
      <c r="J178" s="2">
        <v>17.369381079386258</v>
      </c>
      <c r="K178" s="2">
        <v>56</v>
      </c>
      <c r="L178" s="2" t="s">
        <v>131</v>
      </c>
      <c r="M178" s="2" t="s">
        <v>131</v>
      </c>
      <c r="N178" s="2" t="s">
        <v>209</v>
      </c>
      <c r="O178" s="2" t="s">
        <v>126</v>
      </c>
      <c r="P178" s="2">
        <v>17</v>
      </c>
      <c r="Q178" s="2" t="s">
        <v>123</v>
      </c>
      <c r="R178" s="2" t="s">
        <v>106</v>
      </c>
      <c r="S178" s="2" t="s">
        <v>106</v>
      </c>
      <c r="T178" s="2" t="s">
        <v>106</v>
      </c>
      <c r="U178" s="2">
        <v>0.6591304347826088</v>
      </c>
      <c r="V178" s="2">
        <v>0.54500000000000004</v>
      </c>
      <c r="W178" s="2">
        <v>0.65100000000000002</v>
      </c>
      <c r="X178" s="2">
        <v>16.852043478260899</v>
      </c>
      <c r="Y178" s="2">
        <v>10.256</v>
      </c>
      <c r="Z178" s="2">
        <v>17.09</v>
      </c>
      <c r="AA178" s="2">
        <v>65.454260869565218</v>
      </c>
      <c r="AB178" s="2">
        <v>86.257000000000005</v>
      </c>
      <c r="AC178" s="2">
        <v>68.408000000000001</v>
      </c>
      <c r="AD178" s="2" t="s">
        <v>106</v>
      </c>
      <c r="AE178" s="2" t="s">
        <v>106</v>
      </c>
      <c r="AF178" s="2" t="s">
        <v>106</v>
      </c>
      <c r="AG178" s="2">
        <v>0.76</v>
      </c>
      <c r="AH178" s="2">
        <v>18</v>
      </c>
      <c r="AI178" s="2">
        <v>7.1755200000000003E-3</v>
      </c>
      <c r="AJ178" s="2">
        <f t="shared" si="5"/>
        <v>398.64000000000004</v>
      </c>
      <c r="AK178" s="2">
        <v>5.9</v>
      </c>
      <c r="AL178" s="2" t="s">
        <v>116</v>
      </c>
      <c r="AM178" s="2" t="s">
        <v>128</v>
      </c>
      <c r="AN178" s="2" t="s">
        <v>198</v>
      </c>
      <c r="AO178" s="2" t="s">
        <v>211</v>
      </c>
    </row>
    <row r="179" spans="1:41" x14ac:dyDescent="0.35">
      <c r="A179" s="2" t="s">
        <v>198</v>
      </c>
      <c r="B179" s="2" t="s">
        <v>63</v>
      </c>
      <c r="C179" s="2">
        <v>-69.900000000000006</v>
      </c>
      <c r="D179" s="2">
        <v>71.7</v>
      </c>
      <c r="E179" s="2">
        <v>220.79929344226116</v>
      </c>
      <c r="F179" s="2">
        <v>80.667068367036407</v>
      </c>
      <c r="G179" s="2">
        <v>111.77518775506582</v>
      </c>
      <c r="H179" s="2">
        <v>31.395655410056325</v>
      </c>
      <c r="I179" s="2">
        <v>106.83760683760669</v>
      </c>
      <c r="J179" s="2">
        <v>27.731762328485196</v>
      </c>
      <c r="K179" s="2">
        <v>55</v>
      </c>
      <c r="L179" s="2" t="s">
        <v>81</v>
      </c>
      <c r="M179" s="2" t="s">
        <v>132</v>
      </c>
      <c r="N179" s="2" t="s">
        <v>209</v>
      </c>
      <c r="O179" s="2" t="s">
        <v>126</v>
      </c>
      <c r="P179" s="2">
        <v>17</v>
      </c>
      <c r="Q179" s="2" t="s">
        <v>123</v>
      </c>
      <c r="R179" s="2" t="s">
        <v>106</v>
      </c>
      <c r="S179" s="2" t="s">
        <v>106</v>
      </c>
      <c r="T179" s="2" t="s">
        <v>106</v>
      </c>
      <c r="U179" s="2">
        <v>0.65027777777777784</v>
      </c>
      <c r="V179" s="2">
        <v>0.52800000000000002</v>
      </c>
      <c r="W179" s="2">
        <v>0.63900000000000001</v>
      </c>
      <c r="X179" s="2">
        <v>16.763361111111099</v>
      </c>
      <c r="Y179" s="2">
        <v>13.044</v>
      </c>
      <c r="Z179" s="2">
        <v>16.966000000000001</v>
      </c>
      <c r="AA179" s="2">
        <v>60.883777777777773</v>
      </c>
      <c r="AB179" s="2">
        <v>80.576999999999998</v>
      </c>
      <c r="AC179" s="2">
        <v>62.298999999999999</v>
      </c>
      <c r="AD179" s="2" t="s">
        <v>106</v>
      </c>
      <c r="AE179" s="2" t="s">
        <v>106</v>
      </c>
      <c r="AF179" s="2" t="s">
        <v>106</v>
      </c>
      <c r="AG179" s="2">
        <v>1.5</v>
      </c>
      <c r="AH179" s="2">
        <v>13</v>
      </c>
      <c r="AI179" s="2">
        <v>6.4498000000000003E-3</v>
      </c>
      <c r="AJ179" s="2">
        <f t="shared" si="5"/>
        <v>496.13846153846157</v>
      </c>
      <c r="AK179" s="2">
        <v>5.5</v>
      </c>
      <c r="AL179" s="2" t="s">
        <v>116</v>
      </c>
      <c r="AM179" s="2" t="s">
        <v>128</v>
      </c>
      <c r="AN179" s="2" t="s">
        <v>198</v>
      </c>
      <c r="AO179" s="2" t="s">
        <v>211</v>
      </c>
    </row>
    <row r="180" spans="1:41" s="1" customFormat="1" x14ac:dyDescent="0.35">
      <c r="A180" s="2" t="s">
        <v>199</v>
      </c>
      <c r="B180" s="2" t="s">
        <v>60</v>
      </c>
      <c r="C180" s="2">
        <v>-69</v>
      </c>
      <c r="D180" s="2">
        <v>72.099999999999994</v>
      </c>
      <c r="E180" s="2">
        <v>256.67351129363539</v>
      </c>
      <c r="F180" s="2">
        <v>64.495279744971995</v>
      </c>
      <c r="G180" s="2">
        <v>86.867769500365412</v>
      </c>
      <c r="H180" s="2">
        <v>15.510907583468136</v>
      </c>
      <c r="I180" s="2">
        <v>82.088327039894821</v>
      </c>
      <c r="J180" s="2">
        <v>9.0487057501372767</v>
      </c>
      <c r="K180" s="2">
        <v>34</v>
      </c>
      <c r="L180" s="2" t="s">
        <v>131</v>
      </c>
      <c r="M180" s="2" t="s">
        <v>131</v>
      </c>
      <c r="N180" s="2" t="s">
        <v>31</v>
      </c>
      <c r="O180" s="2" t="s">
        <v>127</v>
      </c>
      <c r="P180" s="2">
        <v>20</v>
      </c>
      <c r="Q180" s="2" t="s">
        <v>123</v>
      </c>
      <c r="R180" s="2">
        <v>79.353250000000003</v>
      </c>
      <c r="S180" s="2">
        <v>0.55493749999999997</v>
      </c>
      <c r="T180" s="2">
        <v>15.528437500000001</v>
      </c>
      <c r="U180" s="2">
        <v>0.85345454545454524</v>
      </c>
      <c r="V180" s="2">
        <v>0.54</v>
      </c>
      <c r="W180" s="2">
        <v>0.65800000000000003</v>
      </c>
      <c r="X180" s="2">
        <v>20.6547727272727</v>
      </c>
      <c r="Y180" s="2">
        <v>12.512</v>
      </c>
      <c r="Z180" s="2">
        <v>22.527999999999999</v>
      </c>
      <c r="AA180" s="2">
        <v>57.238545454545459</v>
      </c>
      <c r="AB180" s="2">
        <v>78.733999999999995</v>
      </c>
      <c r="AC180" s="2">
        <v>55.207000000000001</v>
      </c>
      <c r="AD180" s="2">
        <f>73.4-69.2</f>
        <v>4.2000000000000028</v>
      </c>
      <c r="AE180" s="2">
        <f>(320.8-211.1)/2</f>
        <v>54.850000000000009</v>
      </c>
      <c r="AF180" s="2">
        <f>61.9-57.8</f>
        <v>4.1000000000000014</v>
      </c>
      <c r="AG180" s="2">
        <v>1.55</v>
      </c>
      <c r="AH180" s="2">
        <v>11</v>
      </c>
      <c r="AI180" s="2">
        <v>5.7317599999999998E-3</v>
      </c>
      <c r="AJ180" s="2">
        <f t="shared" ref="AJ180:AJ187" si="7">(AI180/AH180)*1000000</f>
        <v>521.06909090909085</v>
      </c>
      <c r="AK180" s="2">
        <v>7.8</v>
      </c>
      <c r="AL180" s="2" t="s">
        <v>116</v>
      </c>
      <c r="AM180" s="2" t="s">
        <v>128</v>
      </c>
      <c r="AN180" s="2" t="s">
        <v>199</v>
      </c>
      <c r="AO180" s="2" t="s">
        <v>211</v>
      </c>
    </row>
    <row r="181" spans="1:41" s="1" customFormat="1" x14ac:dyDescent="0.35">
      <c r="A181" s="2" t="s">
        <v>199</v>
      </c>
      <c r="B181" s="2" t="s">
        <v>60</v>
      </c>
      <c r="C181" s="2">
        <v>-68.3</v>
      </c>
      <c r="D181" s="2">
        <v>72.5</v>
      </c>
      <c r="E181" s="2">
        <v>267.59432700026798</v>
      </c>
      <c r="F181" s="2">
        <v>68.374441069233484</v>
      </c>
      <c r="G181" s="2">
        <v>104.01569852380952</v>
      </c>
      <c r="H181" s="2">
        <v>19.726954534734656</v>
      </c>
      <c r="I181" s="2">
        <v>96.571704490584082</v>
      </c>
      <c r="J181" s="2">
        <v>22.166199737761858</v>
      </c>
      <c r="K181" s="2">
        <v>49</v>
      </c>
      <c r="L181" s="2" t="s">
        <v>81</v>
      </c>
      <c r="M181" s="2" t="s">
        <v>132</v>
      </c>
      <c r="N181" s="2" t="s">
        <v>31</v>
      </c>
      <c r="O181" s="2" t="s">
        <v>127</v>
      </c>
      <c r="P181" s="2">
        <v>20</v>
      </c>
      <c r="Q181" s="2" t="s">
        <v>123</v>
      </c>
      <c r="R181" s="2">
        <v>80.351187500000009</v>
      </c>
      <c r="S181" s="2">
        <v>0.49525000000000002</v>
      </c>
      <c r="T181" s="2">
        <v>16.147437499999999</v>
      </c>
      <c r="U181" s="2">
        <v>0.7334117647058821</v>
      </c>
      <c r="V181" s="2">
        <v>0.52200000000000002</v>
      </c>
      <c r="W181" s="2">
        <v>0.58899999999999997</v>
      </c>
      <c r="X181" s="2">
        <v>21.593499999999999</v>
      </c>
      <c r="Y181" s="2">
        <v>11.987</v>
      </c>
      <c r="Z181" s="2">
        <v>24.085999999999999</v>
      </c>
      <c r="AA181" s="2">
        <v>55.112000000000002</v>
      </c>
      <c r="AB181" s="2">
        <v>79.784999999999997</v>
      </c>
      <c r="AC181" s="2">
        <v>53.23</v>
      </c>
      <c r="AD181" s="2">
        <f>70.1-68.1</f>
        <v>2</v>
      </c>
      <c r="AE181" s="2">
        <f>(301.1-214.9)/2</f>
        <v>43.100000000000009</v>
      </c>
      <c r="AF181" s="2">
        <f>60.69-56.6</f>
        <v>4.0899999999999963</v>
      </c>
      <c r="AG181" s="2">
        <v>2.1</v>
      </c>
      <c r="AH181" s="2">
        <v>8</v>
      </c>
      <c r="AI181" s="2">
        <v>5.8327199999999996E-3</v>
      </c>
      <c r="AJ181" s="2">
        <f t="shared" si="7"/>
        <v>729.08999999999992</v>
      </c>
      <c r="AK181" s="2">
        <v>8.6999999999999993</v>
      </c>
      <c r="AL181" s="2" t="s">
        <v>116</v>
      </c>
      <c r="AM181" s="2" t="s">
        <v>128</v>
      </c>
      <c r="AN181" s="2" t="s">
        <v>199</v>
      </c>
      <c r="AO181" s="2" t="s">
        <v>211</v>
      </c>
    </row>
    <row r="182" spans="1:41" x14ac:dyDescent="0.35">
      <c r="A182" s="2" t="s">
        <v>200</v>
      </c>
      <c r="B182" s="2" t="s">
        <v>64</v>
      </c>
      <c r="C182" s="2">
        <v>-65.7</v>
      </c>
      <c r="D182" s="2">
        <v>72.900000000000006</v>
      </c>
      <c r="E182" s="2">
        <v>192.67822736030837</v>
      </c>
      <c r="F182" s="2">
        <v>146.01950820629654</v>
      </c>
      <c r="G182" s="2">
        <v>80.162012581336995</v>
      </c>
      <c r="H182" s="2">
        <v>29.57237979879741</v>
      </c>
      <c r="I182" s="2">
        <v>58.486372675166834</v>
      </c>
      <c r="J182" s="2">
        <v>25.245415467549833</v>
      </c>
      <c r="K182" s="2">
        <v>34</v>
      </c>
      <c r="L182" s="2" t="s">
        <v>131</v>
      </c>
      <c r="M182" s="2" t="s">
        <v>131</v>
      </c>
      <c r="N182" s="2" t="s">
        <v>31</v>
      </c>
      <c r="O182" s="2" t="s">
        <v>127</v>
      </c>
      <c r="P182" s="2">
        <v>14</v>
      </c>
      <c r="Q182" s="2" t="s">
        <v>123</v>
      </c>
      <c r="R182" s="2">
        <v>79.068941176470588</v>
      </c>
      <c r="S182" s="2">
        <v>0.66052941176470581</v>
      </c>
      <c r="T182" s="2">
        <v>13.166470588235301</v>
      </c>
      <c r="U182" s="2">
        <v>1.0796333333333334</v>
      </c>
      <c r="V182" s="2">
        <v>0.67</v>
      </c>
      <c r="W182" s="2">
        <v>1.1319999999999999</v>
      </c>
      <c r="X182" s="2">
        <v>16.336266666666699</v>
      </c>
      <c r="Y182" s="2">
        <v>9.6029999999999998</v>
      </c>
      <c r="Z182" s="2">
        <v>18.010000000000002</v>
      </c>
      <c r="AA182" s="2">
        <v>44.062533333333349</v>
      </c>
      <c r="AB182" s="2">
        <v>80.462999999999994</v>
      </c>
      <c r="AC182" s="2">
        <v>40.018000000000001</v>
      </c>
      <c r="AD182" s="2">
        <f>66.1-64.7</f>
        <v>1.3999999999999915</v>
      </c>
      <c r="AE182" s="2">
        <f>(305.8-227.9)/2</f>
        <v>38.950000000000003</v>
      </c>
      <c r="AF182" s="2">
        <f>57.4-52.3</f>
        <v>5.1000000000000014</v>
      </c>
      <c r="AG182" s="2">
        <v>0.56000000000000005</v>
      </c>
      <c r="AH182" s="2">
        <v>19</v>
      </c>
      <c r="AI182" s="2">
        <v>9.9478599999999993E-3</v>
      </c>
      <c r="AJ182" s="2">
        <f t="shared" si="7"/>
        <v>523.57157894736838</v>
      </c>
      <c r="AK182" s="2">
        <v>2.7</v>
      </c>
      <c r="AL182" s="2" t="s">
        <v>116</v>
      </c>
      <c r="AM182" s="2" t="s">
        <v>128</v>
      </c>
      <c r="AN182" s="2" t="s">
        <v>200</v>
      </c>
      <c r="AO182" s="2" t="s">
        <v>211</v>
      </c>
    </row>
    <row r="183" spans="1:41" x14ac:dyDescent="0.35">
      <c r="A183" s="2" t="s">
        <v>200</v>
      </c>
      <c r="B183" s="2" t="s">
        <v>64</v>
      </c>
      <c r="C183" s="2">
        <v>-64.900000000000006</v>
      </c>
      <c r="D183" s="2">
        <v>73.3</v>
      </c>
      <c r="E183" s="2">
        <v>196.69551534225008</v>
      </c>
      <c r="F183" s="2">
        <v>148.70330716155166</v>
      </c>
      <c r="G183" s="2">
        <v>94.840584144231599</v>
      </c>
      <c r="H183" s="2">
        <v>33.439610088113042</v>
      </c>
      <c r="I183" s="2">
        <v>72.526834928923648</v>
      </c>
      <c r="J183" s="2">
        <v>32.385445566458564</v>
      </c>
      <c r="K183" s="2">
        <v>42</v>
      </c>
      <c r="L183" s="2" t="s">
        <v>81</v>
      </c>
      <c r="M183" s="2" t="s">
        <v>132</v>
      </c>
      <c r="N183" s="2" t="s">
        <v>31</v>
      </c>
      <c r="O183" s="2" t="s">
        <v>127</v>
      </c>
      <c r="P183" s="2">
        <v>14</v>
      </c>
      <c r="Q183" s="2" t="s">
        <v>123</v>
      </c>
      <c r="R183" s="2">
        <v>86.113764705882346</v>
      </c>
      <c r="S183" s="2">
        <v>0.58276470588235285</v>
      </c>
      <c r="T183" s="2">
        <v>12.655352941176499</v>
      </c>
      <c r="U183" s="2">
        <v>0.90780000000000005</v>
      </c>
      <c r="V183" s="2">
        <v>0.61099999999999999</v>
      </c>
      <c r="W183" s="2">
        <v>0.998</v>
      </c>
      <c r="X183" s="2">
        <v>16.149799999999999</v>
      </c>
      <c r="Y183" s="2">
        <v>9.5619999999999994</v>
      </c>
      <c r="Z183" s="2">
        <v>15.941000000000001</v>
      </c>
      <c r="AA183" s="2">
        <v>50.236142857142859</v>
      </c>
      <c r="AB183" s="2">
        <v>85.664000000000001</v>
      </c>
      <c r="AC183" s="2">
        <v>47.128999999999998</v>
      </c>
      <c r="AD183" s="2">
        <f>64.7-64.1</f>
        <v>0.60000000000000853</v>
      </c>
      <c r="AE183" s="2">
        <f>(297.5-230.2)/2</f>
        <v>33.650000000000006</v>
      </c>
      <c r="AF183" s="2">
        <f>56.8-51.6</f>
        <v>5.1999999999999957</v>
      </c>
      <c r="AG183" s="2">
        <v>0.76</v>
      </c>
      <c r="AH183" s="2">
        <v>11</v>
      </c>
      <c r="AI183" s="2">
        <v>5.8112499999999996E-3</v>
      </c>
      <c r="AJ183" s="2">
        <f t="shared" si="7"/>
        <v>528.2954545454545</v>
      </c>
      <c r="AK183" s="2">
        <v>2.9</v>
      </c>
      <c r="AL183" s="2" t="s">
        <v>116</v>
      </c>
      <c r="AM183" s="2" t="s">
        <v>128</v>
      </c>
      <c r="AN183" s="2" t="s">
        <v>200</v>
      </c>
      <c r="AO183" s="2" t="s">
        <v>211</v>
      </c>
    </row>
    <row r="184" spans="1:41" x14ac:dyDescent="0.35">
      <c r="A184" s="2" t="s">
        <v>201</v>
      </c>
      <c r="B184" s="2" t="s">
        <v>65</v>
      </c>
      <c r="C184" s="2">
        <v>-65.3</v>
      </c>
      <c r="D184" s="2">
        <v>73.7</v>
      </c>
      <c r="E184" s="2">
        <v>186.95083193120146</v>
      </c>
      <c r="F184" s="2">
        <v>142.07076846254228</v>
      </c>
      <c r="G184" s="2">
        <v>84.125485531737212</v>
      </c>
      <c r="H184" s="2">
        <v>55.837500605202237</v>
      </c>
      <c r="I184" s="2">
        <v>76.675356540407734</v>
      </c>
      <c r="J184" s="2">
        <v>51.012817900566418</v>
      </c>
      <c r="K184" s="2">
        <v>42</v>
      </c>
      <c r="L184" s="2" t="s">
        <v>131</v>
      </c>
      <c r="M184" s="2" t="s">
        <v>131</v>
      </c>
      <c r="N184" s="2" t="s">
        <v>31</v>
      </c>
      <c r="O184" s="2" t="s">
        <v>127</v>
      </c>
      <c r="P184" s="2">
        <v>13</v>
      </c>
      <c r="Q184" s="2" t="s">
        <v>123</v>
      </c>
      <c r="R184" s="2">
        <v>86.094470588235296</v>
      </c>
      <c r="S184" s="2">
        <v>0.63476470588235312</v>
      </c>
      <c r="T184" s="2">
        <v>11.968999999999999</v>
      </c>
      <c r="U184" s="2">
        <v>0.85606896551724132</v>
      </c>
      <c r="V184" s="2">
        <v>0.65900000000000003</v>
      </c>
      <c r="W184" s="2">
        <v>0.84</v>
      </c>
      <c r="X184" s="2">
        <v>15.4996896551724</v>
      </c>
      <c r="Y184" s="2">
        <v>7.7930000000000001</v>
      </c>
      <c r="Z184" s="2">
        <v>15.811999999999999</v>
      </c>
      <c r="AA184" s="2">
        <v>52.750137931034487</v>
      </c>
      <c r="AB184" s="2">
        <v>85.715999999999994</v>
      </c>
      <c r="AC184" s="2">
        <v>52.338000000000001</v>
      </c>
      <c r="AD184" s="2">
        <f>70.2-68.7</f>
        <v>1.5</v>
      </c>
      <c r="AE184" s="2">
        <f>(290.1-220.5)/2</f>
        <v>34.800000000000011</v>
      </c>
      <c r="AF184" s="2">
        <f>56.4-56</f>
        <v>0.39999999999999858</v>
      </c>
      <c r="AG184" s="2">
        <v>0.46</v>
      </c>
      <c r="AH184" s="2">
        <v>57</v>
      </c>
      <c r="AI184" s="2">
        <v>1.3153700000000001E-2</v>
      </c>
      <c r="AJ184" s="2">
        <f t="shared" si="7"/>
        <v>230.76666666666668</v>
      </c>
      <c r="AK184" s="2">
        <v>2.1</v>
      </c>
      <c r="AL184" s="2" t="s">
        <v>116</v>
      </c>
      <c r="AM184" s="2" t="s">
        <v>128</v>
      </c>
      <c r="AN184" s="2" t="s">
        <v>201</v>
      </c>
      <c r="AO184" s="2" t="s">
        <v>212</v>
      </c>
    </row>
    <row r="185" spans="1:41" x14ac:dyDescent="0.35">
      <c r="A185" s="2" t="s">
        <v>201</v>
      </c>
      <c r="B185" s="2" t="s">
        <v>65</v>
      </c>
      <c r="C185" s="2">
        <v>-67.2</v>
      </c>
      <c r="D185" s="2">
        <v>74.099999999999994</v>
      </c>
      <c r="E185" s="2">
        <v>187.72292096865033</v>
      </c>
      <c r="F185" s="2">
        <v>198.96599084720023</v>
      </c>
      <c r="G185" s="2">
        <v>96.55543317902837</v>
      </c>
      <c r="H185" s="2">
        <v>92.533514528239706</v>
      </c>
      <c r="I185" s="2">
        <v>84.13259296651465</v>
      </c>
      <c r="J185" s="2">
        <v>69.334439776032823</v>
      </c>
      <c r="K185" s="2">
        <v>47</v>
      </c>
      <c r="L185" s="2" t="s">
        <v>81</v>
      </c>
      <c r="M185" s="2" t="s">
        <v>132</v>
      </c>
      <c r="N185" s="2" t="s">
        <v>31</v>
      </c>
      <c r="O185" s="2" t="s">
        <v>127</v>
      </c>
      <c r="P185" s="2">
        <v>13</v>
      </c>
      <c r="Q185" s="2" t="s">
        <v>123</v>
      </c>
      <c r="R185" s="2">
        <v>83.26400000000001</v>
      </c>
      <c r="S185" s="2">
        <v>0.63007142857142873</v>
      </c>
      <c r="T185" s="2">
        <v>13.063714285714299</v>
      </c>
      <c r="U185" s="2">
        <v>0.91678048780487775</v>
      </c>
      <c r="V185" s="2">
        <v>0.66700000000000004</v>
      </c>
      <c r="W185" s="2">
        <v>0.91900000000000004</v>
      </c>
      <c r="X185" s="2">
        <v>15.5631219512195</v>
      </c>
      <c r="Y185" s="2">
        <v>6.2190000000000003</v>
      </c>
      <c r="Z185" s="2">
        <v>16.777000000000001</v>
      </c>
      <c r="AA185" s="2">
        <v>44.738512195121949</v>
      </c>
      <c r="AB185" s="2">
        <v>86.716999999999999</v>
      </c>
      <c r="AC185" s="2">
        <v>42.673000000000002</v>
      </c>
      <c r="AD185" s="2">
        <v>0</v>
      </c>
      <c r="AE185" s="2">
        <v>0</v>
      </c>
      <c r="AF185" s="2">
        <f>56.2-55.78</f>
        <v>0.42000000000000171</v>
      </c>
      <c r="AG185" s="2">
        <v>0.36</v>
      </c>
      <c r="AH185" s="2">
        <v>39</v>
      </c>
      <c r="AI185" s="2">
        <v>8.0783999999999995E-3</v>
      </c>
      <c r="AJ185" s="2">
        <f t="shared" si="7"/>
        <v>207.13846153846151</v>
      </c>
      <c r="AK185" s="2">
        <v>2.2999999999999998</v>
      </c>
      <c r="AL185" s="2" t="s">
        <v>116</v>
      </c>
      <c r="AM185" s="2" t="s">
        <v>128</v>
      </c>
      <c r="AN185" s="2" t="s">
        <v>201</v>
      </c>
      <c r="AO185" s="2" t="s">
        <v>212</v>
      </c>
    </row>
    <row r="186" spans="1:41" x14ac:dyDescent="0.35">
      <c r="A186" s="2" t="s">
        <v>201</v>
      </c>
      <c r="B186" s="2" t="s">
        <v>66</v>
      </c>
      <c r="C186" s="2">
        <v>-62.2</v>
      </c>
      <c r="D186" s="2">
        <v>74.5</v>
      </c>
      <c r="E186" s="2">
        <v>166.47244880972184</v>
      </c>
      <c r="F186" s="2">
        <v>62.703095102645989</v>
      </c>
      <c r="G186" s="2">
        <v>60.547871261363788</v>
      </c>
      <c r="H186" s="2">
        <v>17.111815825369483</v>
      </c>
      <c r="I186" s="2">
        <v>53.067289322861562</v>
      </c>
      <c r="J186" s="2">
        <v>15.295953663628641</v>
      </c>
      <c r="K186" s="2">
        <v>28</v>
      </c>
      <c r="L186" s="2" t="s">
        <v>131</v>
      </c>
      <c r="M186" s="2" t="s">
        <v>131</v>
      </c>
      <c r="N186" s="2" t="s">
        <v>31</v>
      </c>
      <c r="O186" s="2" t="s">
        <v>127</v>
      </c>
      <c r="P186" s="2">
        <v>13</v>
      </c>
      <c r="Q186" s="2" t="s">
        <v>123</v>
      </c>
      <c r="R186" s="2">
        <v>79.622352941176487</v>
      </c>
      <c r="S186" s="2">
        <v>0.87788235294117656</v>
      </c>
      <c r="T186" s="2">
        <v>8.3824117647058802</v>
      </c>
      <c r="U186" s="2">
        <v>1.2667391304347826</v>
      </c>
      <c r="V186" s="2">
        <v>0.93400000000000005</v>
      </c>
      <c r="W186" s="2">
        <v>1.123</v>
      </c>
      <c r="X186" s="2">
        <v>13.133869565217401</v>
      </c>
      <c r="Y186" s="2">
        <v>3.661</v>
      </c>
      <c r="Z186" s="2">
        <v>20.95</v>
      </c>
      <c r="AA186" s="2">
        <v>51.452086956521732</v>
      </c>
      <c r="AB186" s="2">
        <v>78.620999999999995</v>
      </c>
      <c r="AC186" s="2">
        <v>43.305999999999997</v>
      </c>
      <c r="AD186" s="2">
        <f>72.6-66.5</f>
        <v>6.0999999999999943</v>
      </c>
      <c r="AE186" s="2">
        <f>(350.6-213.7)/2</f>
        <v>68.450000000000017</v>
      </c>
      <c r="AF186" s="2">
        <f>58-57</f>
        <v>1</v>
      </c>
      <c r="AG186" s="2">
        <v>0.76</v>
      </c>
      <c r="AH186" s="2">
        <v>22</v>
      </c>
      <c r="AI186" s="2">
        <v>9.6743100000000002E-3</v>
      </c>
      <c r="AJ186" s="2">
        <f t="shared" si="7"/>
        <v>439.74136363636364</v>
      </c>
      <c r="AK186" s="2">
        <v>4.5</v>
      </c>
      <c r="AL186" s="2" t="s">
        <v>116</v>
      </c>
      <c r="AM186" s="2" t="s">
        <v>128</v>
      </c>
      <c r="AN186" s="2" t="s">
        <v>201</v>
      </c>
      <c r="AO186" s="2" t="s">
        <v>212</v>
      </c>
    </row>
    <row r="187" spans="1:41" x14ac:dyDescent="0.35">
      <c r="A187" s="2" t="s">
        <v>201</v>
      </c>
      <c r="B187" s="2" t="s">
        <v>66</v>
      </c>
      <c r="C187" s="2">
        <v>-67.099999999999994</v>
      </c>
      <c r="D187" s="2">
        <v>74.900000000000006</v>
      </c>
      <c r="E187" s="2">
        <v>161.83848519177855</v>
      </c>
      <c r="F187" s="2">
        <v>74.881838669612037</v>
      </c>
      <c r="G187" s="2">
        <v>61.647404904295719</v>
      </c>
      <c r="H187" s="2">
        <v>26.240110490369243</v>
      </c>
      <c r="I187" s="2">
        <v>56.609114067364963</v>
      </c>
      <c r="J187" s="2">
        <v>24.655039665071882</v>
      </c>
      <c r="K187" s="2">
        <v>31</v>
      </c>
      <c r="L187" s="2" t="s">
        <v>81</v>
      </c>
      <c r="M187" s="2" t="s">
        <v>132</v>
      </c>
      <c r="N187" s="2" t="s">
        <v>31</v>
      </c>
      <c r="O187" s="2" t="s">
        <v>127</v>
      </c>
      <c r="P187" s="2">
        <v>13</v>
      </c>
      <c r="Q187" s="2" t="s">
        <v>123</v>
      </c>
      <c r="R187" s="2">
        <v>79.518799999999985</v>
      </c>
      <c r="S187" s="2">
        <v>0.82013333333333327</v>
      </c>
      <c r="T187" s="2">
        <v>8.3214666666666695</v>
      </c>
      <c r="U187" s="2">
        <v>1.1616296296296296</v>
      </c>
      <c r="V187" s="2">
        <v>0.83499999999999996</v>
      </c>
      <c r="W187" s="2">
        <v>1.1339999999999999</v>
      </c>
      <c r="X187" s="2">
        <v>12.348962962963</v>
      </c>
      <c r="Y187" s="2">
        <v>4.1369999999999996</v>
      </c>
      <c r="Z187" s="2">
        <v>14.313000000000001</v>
      </c>
      <c r="AA187" s="2">
        <v>50.536777777777786</v>
      </c>
      <c r="AB187" s="2">
        <v>76.894999999999996</v>
      </c>
      <c r="AC187" s="2">
        <v>46.197000000000003</v>
      </c>
      <c r="AD187" s="2">
        <f>68.1-65.4</f>
        <v>2.6999999999999886</v>
      </c>
      <c r="AE187" s="2">
        <f>(317.2-219)/2</f>
        <v>49.099999999999994</v>
      </c>
      <c r="AF187" s="2">
        <f>56.6-55.3</f>
        <v>1.3000000000000043</v>
      </c>
      <c r="AG187" s="2">
        <v>0.76</v>
      </c>
      <c r="AH187" s="2">
        <v>35</v>
      </c>
      <c r="AI187" s="2">
        <v>4.6618299999999996E-3</v>
      </c>
      <c r="AJ187" s="2">
        <f t="shared" si="7"/>
        <v>133.19514285714286</v>
      </c>
      <c r="AK187" s="2">
        <v>5.0999999999999996</v>
      </c>
      <c r="AL187" s="2" t="s">
        <v>116</v>
      </c>
      <c r="AM187" s="2" t="s">
        <v>128</v>
      </c>
      <c r="AN187" s="2" t="s">
        <v>201</v>
      </c>
      <c r="AO187" s="2" t="s">
        <v>212</v>
      </c>
    </row>
    <row r="188" spans="1:41" s="1" customFormat="1" x14ac:dyDescent="0.35">
      <c r="A188" s="2" t="s">
        <v>202</v>
      </c>
      <c r="B188" s="2" t="s">
        <v>67</v>
      </c>
      <c r="C188" s="2">
        <v>-64</v>
      </c>
      <c r="D188" s="2">
        <v>75.3</v>
      </c>
      <c r="E188" s="2">
        <v>215.00752526338505</v>
      </c>
      <c r="F188" s="2">
        <v>41.342813577717919</v>
      </c>
      <c r="G188" s="2">
        <v>91.150354769809624</v>
      </c>
      <c r="H188" s="2">
        <v>19.928249460287386</v>
      </c>
      <c r="I188" s="2">
        <v>77.077231385849018</v>
      </c>
      <c r="J188" s="2">
        <v>15.422416878147864</v>
      </c>
      <c r="K188" s="2">
        <v>43</v>
      </c>
      <c r="L188" s="2" t="s">
        <v>131</v>
      </c>
      <c r="M188" s="2" t="s">
        <v>131</v>
      </c>
      <c r="N188" s="2" t="s">
        <v>31</v>
      </c>
      <c r="O188" s="2" t="s">
        <v>127</v>
      </c>
      <c r="P188" s="2">
        <v>16</v>
      </c>
      <c r="Q188" s="2" t="s">
        <v>123</v>
      </c>
      <c r="R188" s="2">
        <v>75.519272727272721</v>
      </c>
      <c r="S188" s="2">
        <v>0.5888181818181818</v>
      </c>
      <c r="T188" s="2">
        <v>19.029363636363598</v>
      </c>
      <c r="U188" s="2">
        <v>0.69751851851851809</v>
      </c>
      <c r="V188" s="2">
        <v>0.58399999999999996</v>
      </c>
      <c r="W188" s="2">
        <v>0.68200000000000005</v>
      </c>
      <c r="X188" s="2">
        <v>25.955407407407399</v>
      </c>
      <c r="Y188" s="2">
        <v>12.817</v>
      </c>
      <c r="Z188" s="2">
        <v>28.076000000000001</v>
      </c>
      <c r="AA188" s="2">
        <v>46.931925925925924</v>
      </c>
      <c r="AB188" s="2">
        <v>81.174999999999997</v>
      </c>
      <c r="AC188" s="2">
        <v>44.048999999999999</v>
      </c>
      <c r="AD188" s="2">
        <f>69.8-66.8</f>
        <v>3</v>
      </c>
      <c r="AE188" s="2">
        <f>(303-213)/2</f>
        <v>45</v>
      </c>
      <c r="AF188" s="2">
        <f>64.8-61.1</f>
        <v>3.6999999999999957</v>
      </c>
      <c r="AG188" s="2">
        <v>1.4</v>
      </c>
      <c r="AH188" s="2">
        <v>25</v>
      </c>
      <c r="AI188" s="2">
        <v>9.7387099999999994E-3</v>
      </c>
      <c r="AJ188" s="2">
        <f t="shared" ref="AJ188:AJ203" si="8">(AI188/AH188)*1000000</f>
        <v>389.54839999999996</v>
      </c>
      <c r="AK188" s="2">
        <v>5.5</v>
      </c>
      <c r="AL188" s="2" t="s">
        <v>116</v>
      </c>
      <c r="AM188" s="2" t="s">
        <v>128</v>
      </c>
      <c r="AN188" s="2" t="s">
        <v>202</v>
      </c>
      <c r="AO188" s="2" t="s">
        <v>211</v>
      </c>
    </row>
    <row r="189" spans="1:41" s="1" customFormat="1" x14ac:dyDescent="0.35">
      <c r="A189" s="2" t="s">
        <v>202</v>
      </c>
      <c r="B189" s="2" t="s">
        <v>67</v>
      </c>
      <c r="C189" s="2">
        <v>-64.8</v>
      </c>
      <c r="D189" s="2">
        <v>75.7</v>
      </c>
      <c r="E189" s="2">
        <v>213.26508850501205</v>
      </c>
      <c r="F189" s="2">
        <v>36.27758293968305</v>
      </c>
      <c r="G189" s="2">
        <v>126.98591224776669</v>
      </c>
      <c r="H189" s="2">
        <v>33.129020421542499</v>
      </c>
      <c r="I189" s="2">
        <v>113.54604292040402</v>
      </c>
      <c r="J189" s="2">
        <v>30.23165539382174</v>
      </c>
      <c r="K189" s="2">
        <v>62</v>
      </c>
      <c r="L189" s="2" t="s">
        <v>81</v>
      </c>
      <c r="M189" s="2" t="s">
        <v>132</v>
      </c>
      <c r="N189" s="2" t="s">
        <v>31</v>
      </c>
      <c r="O189" s="2" t="s">
        <v>127</v>
      </c>
      <c r="P189" s="2">
        <v>16</v>
      </c>
      <c r="Q189" s="2" t="s">
        <v>123</v>
      </c>
      <c r="R189" s="2">
        <v>54.477400000000003</v>
      </c>
      <c r="S189" s="2">
        <v>0.7178000000000001</v>
      </c>
      <c r="T189" s="2">
        <v>15.3628</v>
      </c>
      <c r="U189" s="2">
        <v>0.65222916666666675</v>
      </c>
      <c r="V189" s="2">
        <v>0.59399999999999997</v>
      </c>
      <c r="W189" s="2">
        <v>0.68200000000000005</v>
      </c>
      <c r="X189" s="2">
        <v>21.701125000000001</v>
      </c>
      <c r="Y189" s="2">
        <v>4.6100000000000003</v>
      </c>
      <c r="Z189" s="2">
        <v>12.385999999999999</v>
      </c>
      <c r="AA189" s="2">
        <v>54.829770833333335</v>
      </c>
      <c r="AB189" s="2">
        <v>65.599999999999994</v>
      </c>
      <c r="AC189" s="2">
        <v>54.139000000000003</v>
      </c>
      <c r="AD189" s="2">
        <f>67.3-66.2</f>
        <v>1.0999999999999943</v>
      </c>
      <c r="AE189" s="2">
        <f>(270-222)/2</f>
        <v>24</v>
      </c>
      <c r="AF189" s="2">
        <f>60-59.3</f>
        <v>0.70000000000000284</v>
      </c>
      <c r="AG189" s="2">
        <v>1.5</v>
      </c>
      <c r="AH189" s="2">
        <v>25</v>
      </c>
      <c r="AI189" s="2">
        <v>6.6579999999999999E-3</v>
      </c>
      <c r="AJ189" s="2">
        <f t="shared" si="8"/>
        <v>266.32</v>
      </c>
      <c r="AK189" s="2">
        <v>5.6</v>
      </c>
      <c r="AL189" s="2" t="s">
        <v>116</v>
      </c>
      <c r="AM189" s="2" t="s">
        <v>128</v>
      </c>
      <c r="AN189" s="2" t="s">
        <v>202</v>
      </c>
      <c r="AO189" s="2" t="s">
        <v>211</v>
      </c>
    </row>
    <row r="190" spans="1:41" s="1" customFormat="1" x14ac:dyDescent="0.35">
      <c r="A190" s="2" t="s">
        <v>203</v>
      </c>
      <c r="B190" s="2" t="s">
        <v>68</v>
      </c>
      <c r="C190" s="2">
        <v>-69.599999999999994</v>
      </c>
      <c r="D190" s="2">
        <v>76.099999999999994</v>
      </c>
      <c r="E190" s="2">
        <v>223.91401701746631</v>
      </c>
      <c r="F190" s="2">
        <v>67.058955851819121</v>
      </c>
      <c r="G190" s="2">
        <v>52.639695269621967</v>
      </c>
      <c r="H190" s="2">
        <v>15.839822783944781</v>
      </c>
      <c r="I190" s="2">
        <v>33.345560038680816</v>
      </c>
      <c r="J190" s="2">
        <v>7.7413531056914113</v>
      </c>
      <c r="K190" s="2">
        <v>19</v>
      </c>
      <c r="L190" s="2" t="s">
        <v>131</v>
      </c>
      <c r="M190" s="2" t="s">
        <v>131</v>
      </c>
      <c r="N190" s="2" t="s">
        <v>31</v>
      </c>
      <c r="O190" s="2" t="s">
        <v>127</v>
      </c>
      <c r="P190" s="2">
        <v>15</v>
      </c>
      <c r="Q190" s="2" t="s">
        <v>123</v>
      </c>
      <c r="R190" s="2">
        <v>78.982687500000011</v>
      </c>
      <c r="S190" s="2">
        <v>0.53237500000000004</v>
      </c>
      <c r="T190" s="2">
        <v>15.089124999999999</v>
      </c>
      <c r="U190" s="2">
        <v>0.63933333333333331</v>
      </c>
      <c r="V190" s="2">
        <v>0.50900000000000001</v>
      </c>
      <c r="W190" s="2">
        <v>0.66300000000000003</v>
      </c>
      <c r="X190" s="2">
        <v>21.285399999999999</v>
      </c>
      <c r="Y190" s="2">
        <v>13.244</v>
      </c>
      <c r="Z190" s="2">
        <v>20.812999999999999</v>
      </c>
      <c r="AA190" s="2">
        <v>59.68773333333332</v>
      </c>
      <c r="AB190" s="2">
        <v>80.424999999999997</v>
      </c>
      <c r="AC190" s="2">
        <v>57.673000000000002</v>
      </c>
      <c r="AD190" s="2">
        <f>72.7-69.9</f>
        <v>2.7999999999999972</v>
      </c>
      <c r="AE190" s="2">
        <f>(309-213)/2</f>
        <v>48</v>
      </c>
      <c r="AF190" s="2">
        <f>62.5-58.5</f>
        <v>4</v>
      </c>
      <c r="AG190" s="2">
        <v>2.1</v>
      </c>
      <c r="AH190" s="2">
        <v>8</v>
      </c>
      <c r="AI190" s="2">
        <v>3.4081699999999999E-3</v>
      </c>
      <c r="AJ190" s="2">
        <f t="shared" si="8"/>
        <v>426.02125000000001</v>
      </c>
      <c r="AK190" s="2" t="s">
        <v>106</v>
      </c>
      <c r="AL190" s="2" t="s">
        <v>116</v>
      </c>
      <c r="AM190" s="2" t="s">
        <v>128</v>
      </c>
      <c r="AN190" s="2" t="s">
        <v>203</v>
      </c>
      <c r="AO190" s="2" t="s">
        <v>211</v>
      </c>
    </row>
    <row r="191" spans="1:41" s="1" customFormat="1" x14ac:dyDescent="0.35">
      <c r="A191" s="2" t="s">
        <v>203</v>
      </c>
      <c r="B191" s="2" t="s">
        <v>68</v>
      </c>
      <c r="C191" s="2">
        <v>-69</v>
      </c>
      <c r="D191" s="2">
        <v>76.5</v>
      </c>
      <c r="E191" s="2">
        <v>241.312741312741</v>
      </c>
      <c r="F191" s="2">
        <v>79.206973577025153</v>
      </c>
      <c r="G191" s="2">
        <v>92.865794280564629</v>
      </c>
      <c r="H191" s="2">
        <v>24.590092214826431</v>
      </c>
      <c r="I191" s="2">
        <v>89.031339031338362</v>
      </c>
      <c r="J191" s="2">
        <v>20.49032708862855</v>
      </c>
      <c r="K191" s="2">
        <v>44</v>
      </c>
      <c r="L191" s="2" t="s">
        <v>81</v>
      </c>
      <c r="M191" s="2" t="s">
        <v>132</v>
      </c>
      <c r="N191" s="2" t="s">
        <v>31</v>
      </c>
      <c r="O191" s="2" t="s">
        <v>127</v>
      </c>
      <c r="P191" s="2">
        <v>15</v>
      </c>
      <c r="Q191" s="2" t="s">
        <v>123</v>
      </c>
      <c r="R191" s="2">
        <v>76.456437500000021</v>
      </c>
      <c r="S191" s="2">
        <v>0.54449999999999998</v>
      </c>
      <c r="T191" s="2">
        <v>14.8010625</v>
      </c>
      <c r="U191" s="2">
        <v>0.78173529411764719</v>
      </c>
      <c r="V191" s="2">
        <v>0.51700000000000002</v>
      </c>
      <c r="W191" s="2">
        <v>0.64200000000000002</v>
      </c>
      <c r="X191" s="2">
        <v>19.961500000000001</v>
      </c>
      <c r="Y191" s="2">
        <v>12.23</v>
      </c>
      <c r="Z191" s="2">
        <v>21.029</v>
      </c>
      <c r="AA191" s="2">
        <v>54.843999999999994</v>
      </c>
      <c r="AB191" s="2">
        <v>78.266000000000005</v>
      </c>
      <c r="AC191" s="2">
        <v>53.887999999999998</v>
      </c>
      <c r="AD191" s="2">
        <f>68-67.4</f>
        <v>0.59999999999999432</v>
      </c>
      <c r="AE191" s="2">
        <f>(260.9-220.8)/2</f>
        <v>20.049999999999983</v>
      </c>
      <c r="AF191" s="2">
        <f>60.2-56.2</f>
        <v>4</v>
      </c>
      <c r="AG191" s="2">
        <v>2.5</v>
      </c>
      <c r="AH191" s="2">
        <v>7</v>
      </c>
      <c r="AI191" s="2">
        <v>3.09977E-3</v>
      </c>
      <c r="AJ191" s="2">
        <f t="shared" si="8"/>
        <v>442.82428571428568</v>
      </c>
      <c r="AK191" s="2" t="s">
        <v>106</v>
      </c>
      <c r="AL191" s="2" t="s">
        <v>116</v>
      </c>
      <c r="AM191" s="2" t="s">
        <v>128</v>
      </c>
      <c r="AN191" s="2" t="s">
        <v>203</v>
      </c>
      <c r="AO191" s="2" t="s">
        <v>211</v>
      </c>
    </row>
    <row r="192" spans="1:41" x14ac:dyDescent="0.35">
      <c r="A192" s="2" t="s">
        <v>204</v>
      </c>
      <c r="B192" s="2" t="s">
        <v>69</v>
      </c>
      <c r="C192" s="2">
        <v>-68.8</v>
      </c>
      <c r="D192" s="2">
        <v>76.900000000000006</v>
      </c>
      <c r="E192" s="2">
        <v>162.60162601626001</v>
      </c>
      <c r="F192" s="2">
        <v>123.34748197458806</v>
      </c>
      <c r="G192" s="2">
        <v>62.5372791846303</v>
      </c>
      <c r="H192" s="2">
        <v>52.114399320525251</v>
      </c>
      <c r="I192" s="2">
        <v>102.27040294538799</v>
      </c>
      <c r="J192" s="2">
        <v>40.694078197740538</v>
      </c>
      <c r="K192" s="2">
        <v>29</v>
      </c>
      <c r="L192" s="2" t="s">
        <v>131</v>
      </c>
      <c r="M192" s="2" t="s">
        <v>131</v>
      </c>
      <c r="N192" s="2" t="s">
        <v>31</v>
      </c>
      <c r="O192" s="2" t="s">
        <v>127</v>
      </c>
      <c r="P192" s="2">
        <v>16</v>
      </c>
      <c r="Q192" s="2" t="s">
        <v>123</v>
      </c>
      <c r="R192" s="2">
        <v>83.237857142857152</v>
      </c>
      <c r="S192" s="2">
        <v>0.80335714285714299</v>
      </c>
      <c r="T192" s="2">
        <v>12.488428571428599</v>
      </c>
      <c r="U192" s="2">
        <v>1.1104166666666664</v>
      </c>
      <c r="V192" s="2">
        <v>0.81399999999999995</v>
      </c>
      <c r="W192" s="2">
        <v>1.1439999999999999</v>
      </c>
      <c r="X192" s="2">
        <v>21.122958333333301</v>
      </c>
      <c r="Y192" s="2">
        <v>10.211</v>
      </c>
      <c r="Z192" s="2">
        <v>18.882999999999999</v>
      </c>
      <c r="AA192" s="2">
        <v>51.064583333333339</v>
      </c>
      <c r="AB192" s="2">
        <v>84.251999999999995</v>
      </c>
      <c r="AC192" s="2">
        <v>54.506999999999998</v>
      </c>
      <c r="AD192" s="2">
        <f>67.8-67.4</f>
        <v>0.39999999999999147</v>
      </c>
      <c r="AE192" s="2">
        <f>(323.5-266.8)/2</f>
        <v>28.349999999999994</v>
      </c>
      <c r="AF192" s="2">
        <f>56.9-48.8</f>
        <v>8.1000000000000014</v>
      </c>
      <c r="AG192" s="2">
        <v>0.36</v>
      </c>
      <c r="AH192" s="2">
        <v>41.3</v>
      </c>
      <c r="AI192" s="2">
        <v>1.1219099999999999E-2</v>
      </c>
      <c r="AJ192" s="2">
        <f t="shared" si="8"/>
        <v>271.6489104116223</v>
      </c>
      <c r="AK192" s="2">
        <v>2</v>
      </c>
      <c r="AL192" s="2" t="s">
        <v>116</v>
      </c>
      <c r="AM192" s="2" t="s">
        <v>128</v>
      </c>
      <c r="AN192" s="2" t="s">
        <v>204</v>
      </c>
      <c r="AO192" s="2" t="s">
        <v>211</v>
      </c>
    </row>
    <row r="193" spans="1:41" x14ac:dyDescent="0.35">
      <c r="A193" s="2" t="s">
        <v>204</v>
      </c>
      <c r="B193" s="2" t="s">
        <v>69</v>
      </c>
      <c r="C193" s="2">
        <v>-67.2</v>
      </c>
      <c r="D193" s="2">
        <v>77.3</v>
      </c>
      <c r="E193" s="2">
        <v>161.13438607798858</v>
      </c>
      <c r="F193" s="2">
        <v>131.62586778139161</v>
      </c>
      <c r="G193" s="2">
        <v>67.191925754548734</v>
      </c>
      <c r="H193" s="2">
        <v>53.728910385173265</v>
      </c>
      <c r="I193" s="2">
        <v>93.817431278731661</v>
      </c>
      <c r="J193" s="2">
        <v>43.818137203351412</v>
      </c>
      <c r="K193" s="2">
        <v>32</v>
      </c>
      <c r="L193" s="2" t="s">
        <v>81</v>
      </c>
      <c r="M193" s="2" t="s">
        <v>132</v>
      </c>
      <c r="N193" s="2" t="s">
        <v>31</v>
      </c>
      <c r="O193" s="2" t="s">
        <v>127</v>
      </c>
      <c r="P193" s="2">
        <v>16</v>
      </c>
      <c r="Q193" s="2" t="s">
        <v>123</v>
      </c>
      <c r="R193" s="2">
        <v>79.381666666666689</v>
      </c>
      <c r="S193" s="2">
        <v>0.8078333333333334</v>
      </c>
      <c r="T193" s="2">
        <v>14.1059444444444</v>
      </c>
      <c r="U193" s="2">
        <v>1.129758620689655</v>
      </c>
      <c r="V193" s="2">
        <v>0.80300000000000005</v>
      </c>
      <c r="W193" s="2">
        <v>1.024</v>
      </c>
      <c r="X193" s="2">
        <v>21.580034482758599</v>
      </c>
      <c r="Y193" s="2">
        <v>8.3130000000000006</v>
      </c>
      <c r="Z193" s="2">
        <v>24.744</v>
      </c>
      <c r="AA193" s="2">
        <v>44.028482758620683</v>
      </c>
      <c r="AB193" s="2">
        <v>83.781000000000006</v>
      </c>
      <c r="AC193" s="2">
        <v>46.223999999999997</v>
      </c>
      <c r="AD193" s="2">
        <f>70.23-69.9</f>
        <v>0.32999999999999829</v>
      </c>
      <c r="AE193" s="2">
        <v>0</v>
      </c>
      <c r="AF193" s="2">
        <f>56.9-50</f>
        <v>6.8999999999999986</v>
      </c>
      <c r="AG193" s="2">
        <v>0.46</v>
      </c>
      <c r="AH193" s="2">
        <v>41</v>
      </c>
      <c r="AI193" s="2">
        <v>1.02074E-2</v>
      </c>
      <c r="AJ193" s="2">
        <f t="shared" si="8"/>
        <v>248.96097560975613</v>
      </c>
      <c r="AK193" s="2">
        <v>1.8</v>
      </c>
      <c r="AL193" s="2" t="s">
        <v>116</v>
      </c>
      <c r="AM193" s="2" t="s">
        <v>128</v>
      </c>
      <c r="AN193" s="2" t="s">
        <v>204</v>
      </c>
      <c r="AO193" s="2" t="s">
        <v>211</v>
      </c>
    </row>
    <row r="194" spans="1:41" x14ac:dyDescent="0.35">
      <c r="A194" s="2" t="s">
        <v>205</v>
      </c>
      <c r="B194" s="2" t="s">
        <v>70</v>
      </c>
      <c r="C194" s="2">
        <v>-63.6</v>
      </c>
      <c r="D194" s="2">
        <v>77.7</v>
      </c>
      <c r="E194" s="2">
        <v>176.49135192375584</v>
      </c>
      <c r="F194" s="2">
        <v>102.68969095426742</v>
      </c>
      <c r="G194" s="2">
        <v>70.778084606513701</v>
      </c>
      <c r="H194" s="2">
        <v>29.925712255795716</v>
      </c>
      <c r="I194" s="2">
        <v>66.089485162910705</v>
      </c>
      <c r="J194" s="2">
        <v>23.667149300928219</v>
      </c>
      <c r="K194" s="2">
        <v>34</v>
      </c>
      <c r="L194" s="2" t="s">
        <v>131</v>
      </c>
      <c r="M194" s="2" t="s">
        <v>131</v>
      </c>
      <c r="N194" s="2" t="s">
        <v>31</v>
      </c>
      <c r="O194" s="2" t="s">
        <v>127</v>
      </c>
      <c r="P194" s="2">
        <v>13</v>
      </c>
      <c r="Q194" s="2" t="s">
        <v>123</v>
      </c>
      <c r="R194" s="2">
        <v>76.712937499999995</v>
      </c>
      <c r="S194" s="2">
        <v>0.87643749999999998</v>
      </c>
      <c r="T194" s="2">
        <v>8.0869999999999997</v>
      </c>
      <c r="U194" s="2">
        <v>1.2234230769230767</v>
      </c>
      <c r="V194" s="2">
        <v>0.91</v>
      </c>
      <c r="W194" s="2">
        <v>1.194</v>
      </c>
      <c r="X194" s="2">
        <v>9.0034230769230703</v>
      </c>
      <c r="Y194" s="2">
        <v>3.9510000000000001</v>
      </c>
      <c r="Z194" s="2">
        <v>9.9860000000000007</v>
      </c>
      <c r="AA194" s="2">
        <v>56.725653846153854</v>
      </c>
      <c r="AB194" s="2">
        <v>79.650000000000006</v>
      </c>
      <c r="AC194" s="2">
        <v>56.308999999999997</v>
      </c>
      <c r="AD194" s="2">
        <f>68.02-65.7</f>
        <v>2.3199999999999932</v>
      </c>
      <c r="AE194" s="2">
        <f>(357.2-241.2)/2</f>
        <v>58</v>
      </c>
      <c r="AF194" s="2">
        <f>54.2-53.3</f>
        <v>0.90000000000000568</v>
      </c>
      <c r="AG194" s="2">
        <v>0.65</v>
      </c>
      <c r="AH194" s="2">
        <v>37</v>
      </c>
      <c r="AI194" s="2">
        <v>1.5381300000000001E-2</v>
      </c>
      <c r="AJ194" s="2">
        <f t="shared" si="8"/>
        <v>415.71081081081081</v>
      </c>
      <c r="AK194" s="2" t="s">
        <v>106</v>
      </c>
      <c r="AL194" s="2" t="s">
        <v>116</v>
      </c>
      <c r="AM194" s="2" t="s">
        <v>128</v>
      </c>
      <c r="AN194" s="2" t="s">
        <v>205</v>
      </c>
      <c r="AO194" s="2" t="s">
        <v>212</v>
      </c>
    </row>
    <row r="195" spans="1:41" x14ac:dyDescent="0.35">
      <c r="A195" s="2" t="s">
        <v>205</v>
      </c>
      <c r="B195" s="2" t="s">
        <v>70</v>
      </c>
      <c r="C195" s="2">
        <v>-64.2</v>
      </c>
      <c r="D195" s="2">
        <v>78.099999999999994</v>
      </c>
      <c r="E195" s="2">
        <v>168.01075268817209</v>
      </c>
      <c r="F195" s="2">
        <v>104.18013869394872</v>
      </c>
      <c r="G195" s="2">
        <v>80.536892395073735</v>
      </c>
      <c r="H195" s="2">
        <v>41.71027722141833</v>
      </c>
      <c r="I195" s="2">
        <v>72.66913741733903</v>
      </c>
      <c r="J195" s="2">
        <v>42.64532477636741</v>
      </c>
      <c r="K195" s="2">
        <v>38</v>
      </c>
      <c r="L195" s="2" t="s">
        <v>81</v>
      </c>
      <c r="M195" s="2" t="s">
        <v>132</v>
      </c>
      <c r="N195" s="2" t="s">
        <v>31</v>
      </c>
      <c r="O195" s="2" t="s">
        <v>127</v>
      </c>
      <c r="P195" s="2">
        <v>13</v>
      </c>
      <c r="Q195" s="2" t="s">
        <v>123</v>
      </c>
      <c r="R195" s="2">
        <v>68.598388888888906</v>
      </c>
      <c r="S195" s="2">
        <v>0.92261111111111105</v>
      </c>
      <c r="T195" s="2">
        <v>9.54511111111111</v>
      </c>
      <c r="U195" s="2">
        <v>1.2611470588235292</v>
      </c>
      <c r="V195" s="2">
        <v>0.871</v>
      </c>
      <c r="W195" s="2">
        <v>1.3180000000000001</v>
      </c>
      <c r="X195" s="2">
        <v>8.6375294117647101</v>
      </c>
      <c r="Y195" s="2">
        <v>5.9210000000000003</v>
      </c>
      <c r="Z195" s="2">
        <v>9.1</v>
      </c>
      <c r="AA195" s="2">
        <v>49.666235294117655</v>
      </c>
      <c r="AB195" s="2">
        <v>70.688999999999993</v>
      </c>
      <c r="AC195" s="2">
        <v>46.707999999999998</v>
      </c>
      <c r="AD195" s="2">
        <v>0</v>
      </c>
      <c r="AE195" s="2">
        <v>0</v>
      </c>
      <c r="AF195" s="2">
        <f>53.07-52.5</f>
        <v>0.57000000000000028</v>
      </c>
      <c r="AG195" s="2">
        <v>1</v>
      </c>
      <c r="AH195" s="2">
        <v>31</v>
      </c>
      <c r="AI195" s="2">
        <v>8.9879299999999999E-3</v>
      </c>
      <c r="AJ195" s="2">
        <f t="shared" si="8"/>
        <v>289.93322580645156</v>
      </c>
      <c r="AK195" s="2" t="s">
        <v>106</v>
      </c>
      <c r="AL195" s="2" t="s">
        <v>116</v>
      </c>
      <c r="AM195" s="2" t="s">
        <v>128</v>
      </c>
      <c r="AN195" s="2" t="s">
        <v>205</v>
      </c>
      <c r="AO195" s="2" t="s">
        <v>212</v>
      </c>
    </row>
    <row r="196" spans="1:41" x14ac:dyDescent="0.35">
      <c r="A196" s="2" t="s">
        <v>205</v>
      </c>
      <c r="B196" s="2" t="s">
        <v>71</v>
      </c>
      <c r="C196" s="2">
        <v>-61.3</v>
      </c>
      <c r="D196" s="2">
        <v>78.5</v>
      </c>
      <c r="E196" s="2">
        <v>122.83503255128333</v>
      </c>
      <c r="F196" s="2">
        <v>73.850884160584457</v>
      </c>
      <c r="G196" s="2">
        <v>48.416551744607098</v>
      </c>
      <c r="H196" s="2">
        <v>26.064333909677288</v>
      </c>
      <c r="I196" s="2">
        <v>41.583499667331999</v>
      </c>
      <c r="J196" s="2">
        <v>22.022138665806537</v>
      </c>
      <c r="K196" s="2">
        <v>23</v>
      </c>
      <c r="L196" s="2" t="s">
        <v>131</v>
      </c>
      <c r="M196" s="2" t="s">
        <v>131</v>
      </c>
      <c r="N196" s="2" t="s">
        <v>31</v>
      </c>
      <c r="O196" s="2" t="s">
        <v>127</v>
      </c>
      <c r="P196" s="2">
        <v>13</v>
      </c>
      <c r="Q196" s="2" t="s">
        <v>123</v>
      </c>
      <c r="R196" s="2" t="s">
        <v>106</v>
      </c>
      <c r="S196" s="2" t="s">
        <v>106</v>
      </c>
      <c r="T196" s="2" t="s">
        <v>106</v>
      </c>
      <c r="U196" s="2">
        <v>1.7892666666666668</v>
      </c>
      <c r="V196" s="2">
        <v>1.157</v>
      </c>
      <c r="W196" s="2">
        <v>1.899</v>
      </c>
      <c r="X196" s="2">
        <v>14.6542666666667</v>
      </c>
      <c r="Y196" s="2">
        <v>8.3859999999999992</v>
      </c>
      <c r="Z196" s="2">
        <v>13.904999999999999</v>
      </c>
      <c r="AA196" s="2">
        <v>53.687666666666679</v>
      </c>
      <c r="AB196" s="2">
        <v>76.177999999999997</v>
      </c>
      <c r="AC196" s="2">
        <v>52.177</v>
      </c>
      <c r="AD196" s="2" t="s">
        <v>106</v>
      </c>
      <c r="AE196" s="2" t="s">
        <v>106</v>
      </c>
      <c r="AF196" s="2" t="s">
        <v>106</v>
      </c>
      <c r="AG196" s="2">
        <v>0.36</v>
      </c>
      <c r="AH196" s="2">
        <v>55</v>
      </c>
      <c r="AI196" s="2">
        <v>1.46225E-2</v>
      </c>
      <c r="AJ196" s="2">
        <f t="shared" si="8"/>
        <v>265.86363636363632</v>
      </c>
      <c r="AK196" s="2" t="s">
        <v>106</v>
      </c>
      <c r="AL196" s="2" t="s">
        <v>116</v>
      </c>
      <c r="AM196" s="2" t="s">
        <v>128</v>
      </c>
      <c r="AN196" s="2" t="s">
        <v>205</v>
      </c>
      <c r="AO196" s="2" t="s">
        <v>212</v>
      </c>
    </row>
    <row r="197" spans="1:41" x14ac:dyDescent="0.35">
      <c r="A197" s="2" t="s">
        <v>205</v>
      </c>
      <c r="B197" s="2" t="s">
        <v>71</v>
      </c>
      <c r="C197" s="2">
        <v>-61.2</v>
      </c>
      <c r="D197" s="2">
        <v>78.900000000000006</v>
      </c>
      <c r="E197" s="2">
        <v>130.61650992685466</v>
      </c>
      <c r="F197" s="2">
        <v>77.505217202909662</v>
      </c>
      <c r="G197" s="2">
        <v>47.958285062321579</v>
      </c>
      <c r="H197" s="2">
        <v>24.724649623680968</v>
      </c>
      <c r="I197" s="2">
        <v>41.018909717379678</v>
      </c>
      <c r="J197" s="2">
        <v>19.526501977965225</v>
      </c>
      <c r="K197" s="2">
        <v>22</v>
      </c>
      <c r="L197" s="2" t="s">
        <v>81</v>
      </c>
      <c r="M197" s="2" t="s">
        <v>132</v>
      </c>
      <c r="N197" s="2" t="s">
        <v>31</v>
      </c>
      <c r="O197" s="2" t="s">
        <v>127</v>
      </c>
      <c r="P197" s="2">
        <v>13</v>
      </c>
      <c r="Q197" s="2" t="s">
        <v>123</v>
      </c>
      <c r="R197" s="2" t="s">
        <v>106</v>
      </c>
      <c r="S197" s="2" t="s">
        <v>106</v>
      </c>
      <c r="T197" s="2" t="s">
        <v>106</v>
      </c>
      <c r="U197" s="2">
        <v>1.7461578947368421</v>
      </c>
      <c r="V197" s="2">
        <v>1.0309999999999999</v>
      </c>
      <c r="W197" s="2">
        <v>1.821</v>
      </c>
      <c r="X197" s="2">
        <v>12.8925263157895</v>
      </c>
      <c r="Y197" s="2">
        <v>4.7080000000000002</v>
      </c>
      <c r="Z197" s="2">
        <v>19.021000000000001</v>
      </c>
      <c r="AA197" s="2">
        <v>42.084315789473692</v>
      </c>
      <c r="AB197" s="2">
        <v>80.602000000000004</v>
      </c>
      <c r="AC197" s="2">
        <v>28.73</v>
      </c>
      <c r="AD197" s="2" t="s">
        <v>106</v>
      </c>
      <c r="AE197" s="2" t="s">
        <v>106</v>
      </c>
      <c r="AF197" s="2" t="s">
        <v>106</v>
      </c>
      <c r="AG197" s="2">
        <v>8.5000000000000006E-2</v>
      </c>
      <c r="AH197" s="2">
        <v>48</v>
      </c>
      <c r="AI197" s="2">
        <v>9.4271300000000006E-3</v>
      </c>
      <c r="AJ197" s="2">
        <f t="shared" si="8"/>
        <v>196.39854166666669</v>
      </c>
      <c r="AK197" s="2" t="s">
        <v>106</v>
      </c>
      <c r="AL197" s="2" t="s">
        <v>116</v>
      </c>
      <c r="AM197" s="2" t="s">
        <v>128</v>
      </c>
      <c r="AN197" s="2" t="s">
        <v>205</v>
      </c>
      <c r="AO197" s="2" t="s">
        <v>212</v>
      </c>
    </row>
    <row r="198" spans="1:41" x14ac:dyDescent="0.35">
      <c r="A198" s="2" t="s">
        <v>205</v>
      </c>
      <c r="B198" s="2" t="s">
        <v>72</v>
      </c>
      <c r="C198" s="2">
        <v>-63.4</v>
      </c>
      <c r="D198" s="2">
        <v>79.3</v>
      </c>
      <c r="E198" s="2">
        <v>261.50627615062677</v>
      </c>
      <c r="F198" s="2">
        <v>59.344009974987699</v>
      </c>
      <c r="G198" s="2">
        <v>118.64428836006761</v>
      </c>
      <c r="H198" s="2">
        <v>19.984872598337976</v>
      </c>
      <c r="I198" s="2">
        <v>105.34077741493675</v>
      </c>
      <c r="J198" s="2">
        <v>17.359555313150537</v>
      </c>
      <c r="K198" s="2">
        <v>58</v>
      </c>
      <c r="L198" s="2" t="s">
        <v>131</v>
      </c>
      <c r="M198" s="2" t="s">
        <v>131</v>
      </c>
      <c r="N198" s="2" t="s">
        <v>31</v>
      </c>
      <c r="O198" s="2" t="s">
        <v>127</v>
      </c>
      <c r="P198" s="2">
        <v>13</v>
      </c>
      <c r="Q198" s="2" t="s">
        <v>123</v>
      </c>
      <c r="R198" s="2">
        <v>80.513400000000004</v>
      </c>
      <c r="S198" s="2">
        <v>0.50046666666666662</v>
      </c>
      <c r="T198" s="2">
        <v>15.969200000000001</v>
      </c>
      <c r="U198" s="2">
        <v>0.55190625000000004</v>
      </c>
      <c r="V198" s="2">
        <v>0.48</v>
      </c>
      <c r="W198" s="2">
        <v>0.53200000000000003</v>
      </c>
      <c r="X198" s="2">
        <v>17.149875000000002</v>
      </c>
      <c r="Y198" s="2">
        <v>13.704000000000001</v>
      </c>
      <c r="Z198" s="2">
        <v>18.751999999999999</v>
      </c>
      <c r="AA198" s="2">
        <v>68.045937499999994</v>
      </c>
      <c r="AB198" s="2">
        <v>82.400999999999996</v>
      </c>
      <c r="AC198" s="2">
        <v>69.131</v>
      </c>
      <c r="AD198" s="2">
        <f>66.8-63.3</f>
        <v>3.5</v>
      </c>
      <c r="AE198" s="2">
        <f>(275.1-210.2)/2</f>
        <v>32.450000000000017</v>
      </c>
      <c r="AF198" s="2">
        <f>56.3-53.4</f>
        <v>2.8999999999999986</v>
      </c>
      <c r="AG198" s="2">
        <v>1</v>
      </c>
      <c r="AH198" s="2">
        <v>23</v>
      </c>
      <c r="AI198" s="2">
        <v>1.03363E-2</v>
      </c>
      <c r="AJ198" s="2">
        <f t="shared" si="8"/>
        <v>449.40434782608691</v>
      </c>
      <c r="AK198" s="2" t="s">
        <v>106</v>
      </c>
      <c r="AL198" s="2" t="s">
        <v>116</v>
      </c>
      <c r="AM198" s="2" t="s">
        <v>128</v>
      </c>
      <c r="AN198" s="2" t="s">
        <v>205</v>
      </c>
      <c r="AO198" s="2" t="s">
        <v>212</v>
      </c>
    </row>
    <row r="199" spans="1:41" x14ac:dyDescent="0.35">
      <c r="A199" s="2" t="s">
        <v>205</v>
      </c>
      <c r="B199" s="2" t="s">
        <v>72</v>
      </c>
      <c r="C199" s="2">
        <v>-64</v>
      </c>
      <c r="D199" s="2">
        <v>79.7</v>
      </c>
      <c r="E199" s="2">
        <v>246.18414574101357</v>
      </c>
      <c r="F199" s="2">
        <v>59.366982257051525</v>
      </c>
      <c r="G199" s="2">
        <v>119.07502232767823</v>
      </c>
      <c r="H199" s="2">
        <v>26.997836785365163</v>
      </c>
      <c r="I199" s="2">
        <v>111.78180192264809</v>
      </c>
      <c r="J199" s="2">
        <v>24.515160739955665</v>
      </c>
      <c r="K199" s="2">
        <v>60</v>
      </c>
      <c r="L199" s="2" t="s">
        <v>81</v>
      </c>
      <c r="M199" s="2" t="s">
        <v>132</v>
      </c>
      <c r="N199" s="2" t="s">
        <v>31</v>
      </c>
      <c r="O199" s="2" t="s">
        <v>127</v>
      </c>
      <c r="P199" s="2">
        <v>13</v>
      </c>
      <c r="Q199" s="2" t="s">
        <v>123</v>
      </c>
      <c r="R199" s="2">
        <v>74.749578947368434</v>
      </c>
      <c r="S199" s="2">
        <v>0.53278947368421059</v>
      </c>
      <c r="T199" s="2">
        <v>14.345105263157899</v>
      </c>
      <c r="U199" s="2">
        <v>0.64869696969696977</v>
      </c>
      <c r="V199" s="2">
        <v>0.60599999999999998</v>
      </c>
      <c r="W199" s="2">
        <v>0.68700000000000006</v>
      </c>
      <c r="X199" s="2">
        <v>17.290454545454502</v>
      </c>
      <c r="Y199" s="2">
        <v>12.512</v>
      </c>
      <c r="Z199" s="2">
        <v>18.103000000000002</v>
      </c>
      <c r="AA199" s="2">
        <v>64.577727272727287</v>
      </c>
      <c r="AB199" s="2">
        <v>75.233000000000004</v>
      </c>
      <c r="AC199" s="2">
        <v>57.052999999999997</v>
      </c>
      <c r="AD199" s="2">
        <f>63.07-62.78</f>
        <v>0.28999999999999915</v>
      </c>
      <c r="AE199" s="2">
        <f>(235.5-229.5)/2</f>
        <v>3</v>
      </c>
      <c r="AF199" s="2">
        <f>53.14-50.6</f>
        <v>2.5399999999999991</v>
      </c>
      <c r="AG199" s="2">
        <v>1.5</v>
      </c>
      <c r="AH199" s="2">
        <v>20</v>
      </c>
      <c r="AI199" s="2">
        <v>6.7594500000000002E-3</v>
      </c>
      <c r="AJ199" s="2">
        <f t="shared" si="8"/>
        <v>337.97250000000003</v>
      </c>
      <c r="AK199" s="2" t="s">
        <v>106</v>
      </c>
      <c r="AL199" s="2" t="s">
        <v>116</v>
      </c>
      <c r="AM199" s="2" t="s">
        <v>128</v>
      </c>
      <c r="AN199" s="2" t="s">
        <v>205</v>
      </c>
      <c r="AO199" s="2" t="s">
        <v>212</v>
      </c>
    </row>
    <row r="200" spans="1:41" x14ac:dyDescent="0.35">
      <c r="A200" s="2" t="s">
        <v>206</v>
      </c>
      <c r="B200" s="2" t="s">
        <v>73</v>
      </c>
      <c r="C200" s="2">
        <v>-69.5</v>
      </c>
      <c r="D200" s="2">
        <v>80.099999999999994</v>
      </c>
      <c r="E200" s="2">
        <v>186.53236336504418</v>
      </c>
      <c r="F200" s="2">
        <v>214.7362151127289</v>
      </c>
      <c r="G200" s="2">
        <v>122.41391406244608</v>
      </c>
      <c r="H200" s="2">
        <v>132.66569176086941</v>
      </c>
      <c r="I200" s="2">
        <v>121.15338017930672</v>
      </c>
      <c r="J200" s="2">
        <v>135.85977037440577</v>
      </c>
      <c r="K200" s="2">
        <v>49</v>
      </c>
      <c r="L200" s="2" t="s">
        <v>131</v>
      </c>
      <c r="M200" s="2" t="s">
        <v>131</v>
      </c>
      <c r="N200" s="2" t="s">
        <v>31</v>
      </c>
      <c r="O200" s="2" t="s">
        <v>127</v>
      </c>
      <c r="P200" s="2">
        <v>15</v>
      </c>
      <c r="Q200" s="2" t="s">
        <v>123</v>
      </c>
      <c r="R200" s="2">
        <v>84.330437499999988</v>
      </c>
      <c r="S200" s="2">
        <v>0.78168750000000009</v>
      </c>
      <c r="T200" s="2">
        <v>13.849937499999999</v>
      </c>
      <c r="U200" s="2">
        <v>1.1562826086956521</v>
      </c>
      <c r="V200" s="2">
        <v>0.77400000000000002</v>
      </c>
      <c r="W200" s="2">
        <v>1.1499999999999999</v>
      </c>
      <c r="X200" s="2" t="s">
        <v>106</v>
      </c>
      <c r="Y200" s="2" t="s">
        <v>106</v>
      </c>
      <c r="Z200" s="2" t="s">
        <v>106</v>
      </c>
      <c r="AA200" s="2" t="s">
        <v>106</v>
      </c>
      <c r="AB200" s="2" t="s">
        <v>106</v>
      </c>
      <c r="AC200" s="2" t="s">
        <v>106</v>
      </c>
      <c r="AD200" s="2">
        <f>71.07-70.04</f>
        <v>1.0299999999999869</v>
      </c>
      <c r="AE200" s="2">
        <f>(285.2-216.7)/2</f>
        <v>34.25</v>
      </c>
      <c r="AF200" s="2">
        <v>0</v>
      </c>
      <c r="AG200" s="2">
        <v>0.26</v>
      </c>
      <c r="AH200" s="2">
        <v>101</v>
      </c>
      <c r="AI200" s="2">
        <v>9.1893200000000008E-3</v>
      </c>
      <c r="AJ200" s="2">
        <f t="shared" si="8"/>
        <v>90.983366336633665</v>
      </c>
      <c r="AK200" s="2">
        <v>1.25</v>
      </c>
      <c r="AL200" s="2" t="s">
        <v>116</v>
      </c>
      <c r="AM200" s="2" t="s">
        <v>128</v>
      </c>
      <c r="AN200" s="2" t="s">
        <v>206</v>
      </c>
      <c r="AO200" s="2" t="s">
        <v>211</v>
      </c>
    </row>
    <row r="201" spans="1:41" x14ac:dyDescent="0.35">
      <c r="A201" s="2" t="s">
        <v>206</v>
      </c>
      <c r="B201" s="2" t="s">
        <v>73</v>
      </c>
      <c r="C201" s="2">
        <v>-72.599999999999994</v>
      </c>
      <c r="D201" s="2">
        <v>80.5</v>
      </c>
      <c r="E201" s="2">
        <v>188.04061677322258</v>
      </c>
      <c r="F201" s="2">
        <v>212.11078197772295</v>
      </c>
      <c r="G201" s="2">
        <v>136.3648321708732</v>
      </c>
      <c r="H201" s="2">
        <v>156.67345635360903</v>
      </c>
      <c r="I201" s="2">
        <v>127.00025400050762</v>
      </c>
      <c r="J201" s="2">
        <v>151.7698460675158</v>
      </c>
      <c r="K201" s="2">
        <v>50</v>
      </c>
      <c r="L201" s="2" t="s">
        <v>81</v>
      </c>
      <c r="M201" s="2" t="s">
        <v>132</v>
      </c>
      <c r="N201" s="2" t="s">
        <v>31</v>
      </c>
      <c r="O201" s="2" t="s">
        <v>127</v>
      </c>
      <c r="P201" s="2">
        <v>15</v>
      </c>
      <c r="Q201" s="2" t="s">
        <v>123</v>
      </c>
      <c r="R201" s="2">
        <v>71.718882352941179</v>
      </c>
      <c r="S201" s="2">
        <v>0.85682352941176476</v>
      </c>
      <c r="T201" s="2">
        <v>13.299235294117601</v>
      </c>
      <c r="U201" s="2">
        <v>1.1654565217391304</v>
      </c>
      <c r="V201" s="2">
        <v>0.83599999999999997</v>
      </c>
      <c r="W201" s="2">
        <v>1.248</v>
      </c>
      <c r="X201" s="2" t="s">
        <v>106</v>
      </c>
      <c r="Y201" s="2" t="s">
        <v>106</v>
      </c>
      <c r="Z201" s="2" t="s">
        <v>106</v>
      </c>
      <c r="AA201" s="2" t="s">
        <v>106</v>
      </c>
      <c r="AB201" s="2" t="s">
        <v>106</v>
      </c>
      <c r="AC201" s="2" t="s">
        <v>106</v>
      </c>
      <c r="AD201" s="2">
        <v>0</v>
      </c>
      <c r="AE201" s="2">
        <v>0</v>
      </c>
      <c r="AF201" s="2">
        <v>0</v>
      </c>
      <c r="AG201" s="2">
        <v>0.4</v>
      </c>
      <c r="AH201" s="2">
        <v>90</v>
      </c>
      <c r="AI201" s="2">
        <v>7.8073500000000002E-3</v>
      </c>
      <c r="AJ201" s="2">
        <f t="shared" si="8"/>
        <v>86.748333333333335</v>
      </c>
      <c r="AK201" s="2">
        <v>1.4</v>
      </c>
      <c r="AL201" s="2" t="s">
        <v>116</v>
      </c>
      <c r="AM201" s="2" t="s">
        <v>128</v>
      </c>
      <c r="AN201" s="2" t="s">
        <v>206</v>
      </c>
      <c r="AO201" s="2" t="s">
        <v>211</v>
      </c>
    </row>
    <row r="202" spans="1:41" x14ac:dyDescent="0.35">
      <c r="A202" s="2" t="s">
        <v>206</v>
      </c>
      <c r="B202" s="2" t="s">
        <v>74</v>
      </c>
      <c r="C202" s="2">
        <v>-71.099999999999994</v>
      </c>
      <c r="D202" s="2">
        <v>80.900000000000006</v>
      </c>
      <c r="E202" s="2">
        <v>176.42907551164413</v>
      </c>
      <c r="F202" s="2">
        <v>259.0405139363798</v>
      </c>
      <c r="G202" s="2">
        <v>67.598684121438396</v>
      </c>
      <c r="H202" s="2">
        <v>41.453941519482868</v>
      </c>
      <c r="I202" s="2">
        <v>53.821313240043267</v>
      </c>
      <c r="J202" s="2">
        <v>35.094596264624315</v>
      </c>
      <c r="K202" s="2">
        <v>30</v>
      </c>
      <c r="L202" s="2" t="s">
        <v>131</v>
      </c>
      <c r="M202" s="2" t="s">
        <v>131</v>
      </c>
      <c r="N202" s="2" t="s">
        <v>31</v>
      </c>
      <c r="O202" s="2" t="s">
        <v>127</v>
      </c>
      <c r="P202" s="2">
        <v>15</v>
      </c>
      <c r="Q202" s="2" t="s">
        <v>123</v>
      </c>
      <c r="R202" s="2">
        <v>84.164312499999994</v>
      </c>
      <c r="S202" s="2">
        <v>0.68806250000000002</v>
      </c>
      <c r="T202" s="2">
        <v>13.5308125</v>
      </c>
      <c r="U202" s="2">
        <v>1.1562826086956521</v>
      </c>
      <c r="V202" s="2">
        <v>0.77400000000000002</v>
      </c>
      <c r="W202" s="2">
        <v>1.1499999999999999</v>
      </c>
      <c r="X202" s="2" t="s">
        <v>106</v>
      </c>
      <c r="Y202" s="2" t="s">
        <v>106</v>
      </c>
      <c r="Z202" s="2" t="s">
        <v>106</v>
      </c>
      <c r="AA202" s="2" t="s">
        <v>106</v>
      </c>
      <c r="AB202" s="2" t="s">
        <v>106</v>
      </c>
      <c r="AC202" s="2" t="s">
        <v>106</v>
      </c>
      <c r="AD202" s="2">
        <v>0</v>
      </c>
      <c r="AE202" s="2">
        <v>0</v>
      </c>
      <c r="AF202" s="2">
        <f>56.5-52.4</f>
        <v>4.1000000000000014</v>
      </c>
      <c r="AG202" s="2">
        <v>0.9</v>
      </c>
      <c r="AH202" s="2">
        <v>42</v>
      </c>
      <c r="AI202" s="2">
        <v>9.6327300000000008E-3</v>
      </c>
      <c r="AJ202" s="2">
        <f t="shared" si="8"/>
        <v>229.3507142857143</v>
      </c>
      <c r="AK202" s="2">
        <v>2.7</v>
      </c>
      <c r="AL202" s="2" t="s">
        <v>116</v>
      </c>
      <c r="AM202" s="2" t="s">
        <v>128</v>
      </c>
      <c r="AN202" s="2" t="s">
        <v>206</v>
      </c>
      <c r="AO202" s="2" t="s">
        <v>211</v>
      </c>
    </row>
    <row r="203" spans="1:41" x14ac:dyDescent="0.35">
      <c r="A203" s="2" t="s">
        <v>206</v>
      </c>
      <c r="B203" s="2" t="s">
        <v>74</v>
      </c>
      <c r="C203" s="2">
        <v>-66.540000000000006</v>
      </c>
      <c r="D203" s="2">
        <v>81.3</v>
      </c>
      <c r="E203" s="2">
        <v>179.34002869440388</v>
      </c>
      <c r="F203" s="2">
        <v>298.90004782400649</v>
      </c>
      <c r="G203" s="2">
        <v>115.09225116297893</v>
      </c>
      <c r="H203" s="2">
        <v>140.51926143299377</v>
      </c>
      <c r="I203" s="2">
        <v>111.78180192264666</v>
      </c>
      <c r="J203" s="2">
        <v>151.1501586362287</v>
      </c>
      <c r="K203" s="2">
        <v>45</v>
      </c>
      <c r="L203" s="2" t="s">
        <v>81</v>
      </c>
      <c r="M203" s="2" t="s">
        <v>132</v>
      </c>
      <c r="N203" s="2" t="s">
        <v>31</v>
      </c>
      <c r="O203" s="2" t="s">
        <v>127</v>
      </c>
      <c r="P203" s="2">
        <v>15</v>
      </c>
      <c r="Q203" s="2" t="s">
        <v>123</v>
      </c>
      <c r="R203" s="2">
        <v>87.102454545454535</v>
      </c>
      <c r="S203" s="2">
        <v>0.66309090909090918</v>
      </c>
      <c r="T203" s="2">
        <v>13.4795454545455</v>
      </c>
      <c r="U203" s="2">
        <v>1.1654565217391304</v>
      </c>
      <c r="V203" s="2">
        <v>0.83599999999999997</v>
      </c>
      <c r="W203" s="2">
        <v>1.248</v>
      </c>
      <c r="X203" s="2" t="s">
        <v>106</v>
      </c>
      <c r="Y203" s="2" t="s">
        <v>106</v>
      </c>
      <c r="Z203" s="2" t="s">
        <v>106</v>
      </c>
      <c r="AA203" s="2" t="s">
        <v>106</v>
      </c>
      <c r="AB203" s="2" t="s">
        <v>106</v>
      </c>
      <c r="AC203" s="2" t="s">
        <v>106</v>
      </c>
      <c r="AD203" s="2">
        <v>0</v>
      </c>
      <c r="AE203" s="2">
        <v>0</v>
      </c>
      <c r="AF203" s="2">
        <f>55.2-50.5</f>
        <v>4.7000000000000028</v>
      </c>
      <c r="AG203" s="2">
        <v>0.76</v>
      </c>
      <c r="AH203" s="2">
        <v>34</v>
      </c>
      <c r="AI203" s="2">
        <v>1.0314200000000001E-2</v>
      </c>
      <c r="AJ203" s="2">
        <f t="shared" si="8"/>
        <v>303.35882352941184</v>
      </c>
      <c r="AK203" s="2">
        <v>2.2999999999999998</v>
      </c>
      <c r="AL203" s="2" t="s">
        <v>116</v>
      </c>
      <c r="AM203" s="2" t="s">
        <v>128</v>
      </c>
      <c r="AN203" s="2" t="s">
        <v>206</v>
      </c>
      <c r="AO203" s="2" t="s">
        <v>211</v>
      </c>
    </row>
  </sheetData>
  <autoFilter ref="N1:R229" xr:uid="{00000000-0009-0000-0000-000012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508A566C8C8B4C9DD7C6669AED4895" ma:contentTypeVersion="13" ma:contentTypeDescription="Create a new document." ma:contentTypeScope="" ma:versionID="cd0a73ce0218637ef993ae8e74454d39">
  <xsd:schema xmlns:xsd="http://www.w3.org/2001/XMLSchema" xmlns:xs="http://www.w3.org/2001/XMLSchema" xmlns:p="http://schemas.microsoft.com/office/2006/metadata/properties" xmlns:ns3="e2618ca4-2ecb-42df-b8bc-67d524ebe9b1" xmlns:ns4="5ebb0841-8891-48b7-997c-b14e45f2686f" targetNamespace="http://schemas.microsoft.com/office/2006/metadata/properties" ma:root="true" ma:fieldsID="71c772d71bb7f09dc669e24ec30ece76" ns3:_="" ns4:_="">
    <xsd:import namespace="e2618ca4-2ecb-42df-b8bc-67d524ebe9b1"/>
    <xsd:import namespace="5ebb0841-8891-48b7-997c-b14e45f2686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618ca4-2ecb-42df-b8bc-67d524ebe9b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bb0841-8891-48b7-997c-b14e45f268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94F252-96F6-4CFC-9828-2F61B97B1E12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e2618ca4-2ecb-42df-b8bc-67d524ebe9b1"/>
    <ds:schemaRef ds:uri="http://purl.org/dc/elements/1.1/"/>
    <ds:schemaRef ds:uri="http://schemas.microsoft.com/office/2006/metadata/properties"/>
    <ds:schemaRef ds:uri="http://schemas.microsoft.com/office/2006/documentManagement/types"/>
    <ds:schemaRef ds:uri="5ebb0841-8891-48b7-997c-b14e45f2686f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1503B2D-EE1A-480B-B788-BD1E539583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618ca4-2ecb-42df-b8bc-67d524ebe9b1"/>
    <ds:schemaRef ds:uri="5ebb0841-8891-48b7-997c-b14e45f268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4364BE5-4345-4F43-B488-A9D274C164C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2022-07-15T10:10:38Z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0x0101002E508A566C8C8B4C9DD7C6669AED4895</vt:lpwstr>
  </property>
</Properties>
</file>