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E935A526-436C-47DC-9EFF-76E68A2C0E70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GB5" sheetId="10" r:id="rId2"/>
    <sheet name="Consumption GB5" sheetId="11" r:id="rId3"/>
    <sheet name="Perf-Power-GB5" sheetId="12" r:id="rId4"/>
    <sheet name="PES CB23ST" sheetId="2" r:id="rId5"/>
    <sheet name="Consumption CB23ST" sheetId="5" r:id="rId6"/>
    <sheet name="Perf-Power-CB23ST" sheetId="8" r:id="rId7"/>
    <sheet name="PES CB23MT" sheetId="4" r:id="rId8"/>
    <sheet name="Consumption CB23MT" sheetId="6" r:id="rId9"/>
    <sheet name="Perf-Power-CB23MT" sheetId="9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9" i="1" l="1"/>
  <c r="W139" i="1"/>
  <c r="X139" i="1"/>
  <c r="Y139" i="1"/>
  <c r="Z139" i="1"/>
  <c r="V138" i="1"/>
  <c r="C138" i="12" s="1"/>
  <c r="W138" i="1"/>
  <c r="X138" i="1"/>
  <c r="Y138" i="1"/>
  <c r="Z138" i="1"/>
  <c r="V137" i="1"/>
  <c r="C137" i="12" s="1"/>
  <c r="W137" i="1"/>
  <c r="X137" i="1"/>
  <c r="Y137" i="1"/>
  <c r="Z137" i="1"/>
  <c r="V136" i="1"/>
  <c r="C136" i="12" s="1"/>
  <c r="W136" i="1"/>
  <c r="X136" i="1"/>
  <c r="Y136" i="1"/>
  <c r="Z136" i="1"/>
  <c r="V135" i="1"/>
  <c r="C135" i="12" s="1"/>
  <c r="W135" i="1"/>
  <c r="X135" i="1"/>
  <c r="Y135" i="1"/>
  <c r="Z135" i="1"/>
  <c r="V134" i="1"/>
  <c r="C134" i="12" s="1"/>
  <c r="W134" i="1"/>
  <c r="X134" i="1"/>
  <c r="Y134" i="1"/>
  <c r="Z134" i="1"/>
  <c r="V133" i="1"/>
  <c r="C133" i="12" s="1"/>
  <c r="W133" i="1"/>
  <c r="X133" i="1"/>
  <c r="Y133" i="1"/>
  <c r="Z133" i="1"/>
  <c r="V130" i="1"/>
  <c r="C130" i="12" s="1"/>
  <c r="W130" i="1"/>
  <c r="X130" i="1"/>
  <c r="Y130" i="1"/>
  <c r="Z130" i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N7" i="12" s="1"/>
  <c r="E8" i="12"/>
  <c r="N8" i="12" s="1"/>
  <c r="E9" i="12"/>
  <c r="P9" i="12" s="1"/>
  <c r="E10" i="12"/>
  <c r="M10" i="12" s="1"/>
  <c r="E11" i="12"/>
  <c r="G11" i="12" s="1"/>
  <c r="E12" i="12"/>
  <c r="G12" i="12" s="1"/>
  <c r="E13" i="12"/>
  <c r="H13" i="12" s="1"/>
  <c r="E14" i="12"/>
  <c r="E15" i="12"/>
  <c r="I15" i="12" s="1"/>
  <c r="E16" i="12"/>
  <c r="G16" i="12" s="1"/>
  <c r="E17" i="12"/>
  <c r="H17" i="12" s="1"/>
  <c r="E18" i="12"/>
  <c r="H18" i="12" s="1"/>
  <c r="E19" i="12"/>
  <c r="I19" i="12" s="1"/>
  <c r="E20" i="12"/>
  <c r="I20" i="12" s="1"/>
  <c r="E21" i="12"/>
  <c r="E22" i="12"/>
  <c r="E23" i="12"/>
  <c r="K23" i="12" s="1"/>
  <c r="E24" i="12"/>
  <c r="K24" i="12" s="1"/>
  <c r="E25" i="12"/>
  <c r="H25" i="12" s="1"/>
  <c r="E26" i="12"/>
  <c r="Q26" i="12" s="1"/>
  <c r="E27" i="12"/>
  <c r="K27" i="12" s="1"/>
  <c r="E28" i="12"/>
  <c r="I28" i="12" s="1"/>
  <c r="E29" i="12"/>
  <c r="E30" i="12"/>
  <c r="I30" i="12" s="1"/>
  <c r="E31" i="12"/>
  <c r="E32" i="12"/>
  <c r="E33" i="12"/>
  <c r="Q33" i="12" s="1"/>
  <c r="E34" i="12"/>
  <c r="Q34" i="12" s="1"/>
  <c r="E35" i="12"/>
  <c r="L35" i="12" s="1"/>
  <c r="E36" i="12"/>
  <c r="G36" i="12" s="1"/>
  <c r="E37" i="12"/>
  <c r="I37" i="12" s="1"/>
  <c r="E38" i="12"/>
  <c r="E39" i="12"/>
  <c r="G39" i="12" s="1"/>
  <c r="E40" i="12"/>
  <c r="I40" i="12" s="1"/>
  <c r="E41" i="12"/>
  <c r="Q41" i="12" s="1"/>
  <c r="E42" i="12"/>
  <c r="Q42" i="12" s="1"/>
  <c r="E43" i="12"/>
  <c r="J43" i="12" s="1"/>
  <c r="E44" i="12"/>
  <c r="K44" i="12" s="1"/>
  <c r="E45" i="12"/>
  <c r="K45" i="12" s="1"/>
  <c r="E46" i="12"/>
  <c r="E47" i="12"/>
  <c r="K47" i="12" s="1"/>
  <c r="E48" i="12"/>
  <c r="G48" i="12" s="1"/>
  <c r="E49" i="12"/>
  <c r="G49" i="12" s="1"/>
  <c r="E50" i="12"/>
  <c r="Q50" i="12" s="1"/>
  <c r="E51" i="12"/>
  <c r="I51" i="12" s="1"/>
  <c r="E52" i="12"/>
  <c r="Q52" i="12" s="1"/>
  <c r="E53" i="12"/>
  <c r="E54" i="12"/>
  <c r="L54" i="12" s="1"/>
  <c r="E55" i="12"/>
  <c r="E56" i="12"/>
  <c r="E57" i="12"/>
  <c r="H57" i="12" s="1"/>
  <c r="E58" i="12"/>
  <c r="H58" i="12" s="1"/>
  <c r="E59" i="12"/>
  <c r="I59" i="12" s="1"/>
  <c r="E60" i="12"/>
  <c r="I60" i="12" s="1"/>
  <c r="E61" i="12"/>
  <c r="E62" i="12"/>
  <c r="J62" i="12" s="1"/>
  <c r="E63" i="12"/>
  <c r="J63" i="12" s="1"/>
  <c r="E64" i="12"/>
  <c r="Q64" i="12" s="1"/>
  <c r="E65" i="12"/>
  <c r="G65" i="12" s="1"/>
  <c r="E66" i="12"/>
  <c r="Q66" i="12" s="1"/>
  <c r="E67" i="12"/>
  <c r="E68" i="12"/>
  <c r="G68" i="12" s="1"/>
  <c r="E69" i="12"/>
  <c r="K69" i="12" s="1"/>
  <c r="E70" i="12"/>
  <c r="E71" i="12"/>
  <c r="I71" i="12" s="1"/>
  <c r="E72" i="12"/>
  <c r="I72" i="12" s="1"/>
  <c r="E73" i="12"/>
  <c r="H73" i="12" s="1"/>
  <c r="E74" i="12"/>
  <c r="Q74" i="12" s="1"/>
  <c r="E75" i="12"/>
  <c r="G75" i="12" s="1"/>
  <c r="E76" i="12"/>
  <c r="G76" i="12" s="1"/>
  <c r="E77" i="12"/>
  <c r="H77" i="12" s="1"/>
  <c r="E78" i="12"/>
  <c r="E79" i="12"/>
  <c r="N79" i="12" s="1"/>
  <c r="E80" i="12"/>
  <c r="G80" i="12" s="1"/>
  <c r="E81" i="12"/>
  <c r="J81" i="12" s="1"/>
  <c r="E82" i="12"/>
  <c r="E83" i="12"/>
  <c r="H83" i="12" s="1"/>
  <c r="E84" i="12"/>
  <c r="I84" i="12" s="1"/>
  <c r="E85" i="12"/>
  <c r="E86" i="12"/>
  <c r="K86" i="12" s="1"/>
  <c r="E87" i="12"/>
  <c r="G87" i="12" s="1"/>
  <c r="E88" i="12"/>
  <c r="G88" i="12" s="1"/>
  <c r="E89" i="12"/>
  <c r="Q89" i="12" s="1"/>
  <c r="E90" i="12"/>
  <c r="H90" i="12" s="1"/>
  <c r="E91" i="12"/>
  <c r="H91" i="12" s="1"/>
  <c r="E92" i="12"/>
  <c r="H92" i="12" s="1"/>
  <c r="E93" i="12"/>
  <c r="E94" i="12"/>
  <c r="I94" i="12" s="1"/>
  <c r="E95" i="12"/>
  <c r="J95" i="12" s="1"/>
  <c r="E96" i="12"/>
  <c r="J96" i="12" s="1"/>
  <c r="E97" i="12"/>
  <c r="J97" i="12" s="1"/>
  <c r="E98" i="12"/>
  <c r="Q98" i="12" s="1"/>
  <c r="E99" i="12"/>
  <c r="H99" i="12" s="1"/>
  <c r="E100" i="12"/>
  <c r="E101" i="12"/>
  <c r="H101" i="12" s="1"/>
  <c r="E102" i="12"/>
  <c r="E103" i="12"/>
  <c r="G103" i="12" s="1"/>
  <c r="E104" i="12"/>
  <c r="G104" i="12" s="1"/>
  <c r="E105" i="12"/>
  <c r="L105" i="12" s="1"/>
  <c r="E106" i="12"/>
  <c r="E107" i="12"/>
  <c r="L107" i="12" s="1"/>
  <c r="E108" i="12"/>
  <c r="L108" i="12" s="1"/>
  <c r="E109" i="12"/>
  <c r="P109" i="12" s="1"/>
  <c r="E110" i="12"/>
  <c r="J110" i="12" s="1"/>
  <c r="E111" i="12"/>
  <c r="K111" i="12" s="1"/>
  <c r="E112" i="12"/>
  <c r="P112" i="12" s="1"/>
  <c r="E113" i="12"/>
  <c r="P113" i="12" s="1"/>
  <c r="E114" i="12"/>
  <c r="Q114" i="12" s="1"/>
  <c r="E115" i="12"/>
  <c r="Q115" i="12" s="1"/>
  <c r="E116" i="12"/>
  <c r="I116" i="12" s="1"/>
  <c r="E117" i="12"/>
  <c r="E118" i="12"/>
  <c r="Q118" i="12" s="1"/>
  <c r="E119" i="12"/>
  <c r="G119" i="12" s="1"/>
  <c r="E120" i="12"/>
  <c r="G120" i="12" s="1"/>
  <c r="E121" i="12"/>
  <c r="H121" i="12" s="1"/>
  <c r="E122" i="12"/>
  <c r="G122" i="12" s="1"/>
  <c r="E123" i="12"/>
  <c r="H123" i="12" s="1"/>
  <c r="E124" i="12"/>
  <c r="H124" i="12" s="1"/>
  <c r="E125" i="12"/>
  <c r="H125" i="12" s="1"/>
  <c r="E126" i="12"/>
  <c r="I126" i="12" s="1"/>
  <c r="E127" i="12"/>
  <c r="J127" i="12" s="1"/>
  <c r="E128" i="12"/>
  <c r="J128" i="12" s="1"/>
  <c r="E129" i="12"/>
  <c r="J129" i="12" s="1"/>
  <c r="E130" i="12"/>
  <c r="E131" i="12"/>
  <c r="G131" i="12" s="1"/>
  <c r="E132" i="12"/>
  <c r="E133" i="12"/>
  <c r="L133" i="12" s="1"/>
  <c r="E134" i="12"/>
  <c r="M134" i="12" s="1"/>
  <c r="E135" i="12"/>
  <c r="I135" i="12" s="1"/>
  <c r="E136" i="12"/>
  <c r="I136" i="12" s="1"/>
  <c r="E137" i="12"/>
  <c r="I137" i="12" s="1"/>
  <c r="E138" i="12"/>
  <c r="H138" i="12" s="1"/>
  <c r="E139" i="12"/>
  <c r="E140" i="12"/>
  <c r="G140" i="12" s="1"/>
  <c r="E141" i="12"/>
  <c r="E142" i="12"/>
  <c r="E143" i="12"/>
  <c r="G143" i="12" s="1"/>
  <c r="E144" i="12"/>
  <c r="G144" i="12" s="1"/>
  <c r="E145" i="12"/>
  <c r="I145" i="12" s="1"/>
  <c r="E146" i="12"/>
  <c r="Q146" i="12" s="1"/>
  <c r="E147" i="12"/>
  <c r="E148" i="12"/>
  <c r="N148" i="12" s="1"/>
  <c r="E149" i="12"/>
  <c r="N149" i="12" s="1"/>
  <c r="E150" i="12"/>
  <c r="E151" i="12"/>
  <c r="Q151" i="12" s="1"/>
  <c r="E152" i="12"/>
  <c r="G152" i="12" s="1"/>
  <c r="E153" i="12"/>
  <c r="L153" i="12" s="1"/>
  <c r="E154" i="12"/>
  <c r="M154" i="12" s="1"/>
  <c r="E155" i="12"/>
  <c r="J155" i="12" s="1"/>
  <c r="E156" i="12"/>
  <c r="M156" i="12" s="1"/>
  <c r="E157" i="12"/>
  <c r="E158" i="12"/>
  <c r="I158" i="12" s="1"/>
  <c r="E159" i="12"/>
  <c r="I159" i="12" s="1"/>
  <c r="E160" i="12"/>
  <c r="I160" i="12" s="1"/>
  <c r="E161" i="12"/>
  <c r="G161" i="12" s="1"/>
  <c r="E162" i="12"/>
  <c r="G162" i="12" s="1"/>
  <c r="E163" i="12"/>
  <c r="G163" i="12" s="1"/>
  <c r="E164" i="12"/>
  <c r="K164" i="12" s="1"/>
  <c r="E165" i="12"/>
  <c r="K165" i="12" s="1"/>
  <c r="E166" i="12"/>
  <c r="J166" i="12" s="1"/>
  <c r="E167" i="12"/>
  <c r="H167" i="12" s="1"/>
  <c r="E168" i="12"/>
  <c r="J168" i="12" s="1"/>
  <c r="E169" i="12"/>
  <c r="J169" i="12" s="1"/>
  <c r="E170" i="12"/>
  <c r="Q170" i="12" s="1"/>
  <c r="E171" i="12"/>
  <c r="E172" i="12"/>
  <c r="I172" i="12" s="1"/>
  <c r="E173" i="12"/>
  <c r="E174" i="12"/>
  <c r="E175" i="12"/>
  <c r="H175" i="12" s="1"/>
  <c r="E176" i="12"/>
  <c r="I176" i="12" s="1"/>
  <c r="E177" i="12"/>
  <c r="I177" i="12" s="1"/>
  <c r="E178" i="12"/>
  <c r="H178" i="12" s="1"/>
  <c r="E179" i="12"/>
  <c r="H179" i="12" s="1"/>
  <c r="E180" i="12"/>
  <c r="M180" i="12" s="1"/>
  <c r="E181" i="12"/>
  <c r="E182" i="12"/>
  <c r="Q182" i="12" s="1"/>
  <c r="E183" i="12"/>
  <c r="K183" i="12" s="1"/>
  <c r="E184" i="12"/>
  <c r="K184" i="12" s="1"/>
  <c r="E185" i="12"/>
  <c r="K185" i="12" s="1"/>
  <c r="E186" i="12"/>
  <c r="E187" i="12"/>
  <c r="G187" i="12" s="1"/>
  <c r="E188" i="12"/>
  <c r="I188" i="12" s="1"/>
  <c r="E189" i="12"/>
  <c r="H189" i="12" s="1"/>
  <c r="E190" i="12"/>
  <c r="P190" i="12" s="1"/>
  <c r="E191" i="12"/>
  <c r="I191" i="12" s="1"/>
  <c r="E192" i="12"/>
  <c r="I192" i="12" s="1"/>
  <c r="E193" i="12"/>
  <c r="P193" i="12" s="1"/>
  <c r="E194" i="12"/>
  <c r="P194" i="12" s="1"/>
  <c r="E195" i="12"/>
  <c r="E196" i="12"/>
  <c r="H196" i="12" s="1"/>
  <c r="E197" i="12"/>
  <c r="H197" i="12" s="1"/>
  <c r="E198" i="12"/>
  <c r="L198" i="12" s="1"/>
  <c r="E199" i="12"/>
  <c r="H199" i="12" s="1"/>
  <c r="E200" i="12"/>
  <c r="G200" i="12" s="1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C118" i="12"/>
  <c r="B118" i="12"/>
  <c r="B117" i="12"/>
  <c r="B116" i="12"/>
  <c r="B115" i="12"/>
  <c r="B114" i="12"/>
  <c r="B113" i="12"/>
  <c r="B112" i="12"/>
  <c r="B111" i="12"/>
  <c r="B110" i="12"/>
  <c r="C109" i="12"/>
  <c r="B109" i="12"/>
  <c r="B108" i="12"/>
  <c r="C107" i="12"/>
  <c r="B107" i="12"/>
  <c r="B106" i="12"/>
  <c r="C105" i="12"/>
  <c r="B105" i="12"/>
  <c r="B104" i="12"/>
  <c r="B103" i="12"/>
  <c r="C102" i="12"/>
  <c r="B102" i="12"/>
  <c r="B101" i="12"/>
  <c r="B100" i="12"/>
  <c r="B99" i="12"/>
  <c r="B98" i="12"/>
  <c r="B97" i="12"/>
  <c r="C96" i="12"/>
  <c r="B96" i="12"/>
  <c r="C95" i="12"/>
  <c r="B95" i="12"/>
  <c r="C94" i="12"/>
  <c r="B94" i="12"/>
  <c r="B93" i="12"/>
  <c r="C92" i="12"/>
  <c r="B92" i="12"/>
  <c r="C91" i="12"/>
  <c r="B91" i="12"/>
  <c r="C90" i="12"/>
  <c r="B90" i="12"/>
  <c r="C89" i="12"/>
  <c r="B89" i="12"/>
  <c r="C88" i="12"/>
  <c r="B88" i="12"/>
  <c r="B87" i="12"/>
  <c r="B86" i="12"/>
  <c r="B85" i="12"/>
  <c r="B84" i="12"/>
  <c r="B83" i="12"/>
  <c r="B82" i="12"/>
  <c r="C81" i="12"/>
  <c r="B81" i="12"/>
  <c r="B80" i="12"/>
  <c r="B79" i="12"/>
  <c r="B78" i="12"/>
  <c r="B77" i="12"/>
  <c r="B76" i="12"/>
  <c r="C75" i="12"/>
  <c r="B75" i="12"/>
  <c r="B74" i="12"/>
  <c r="C73" i="12"/>
  <c r="B73" i="12"/>
  <c r="C72" i="12"/>
  <c r="B72" i="12"/>
  <c r="C71" i="12"/>
  <c r="B71" i="12"/>
  <c r="C70" i="12"/>
  <c r="B70" i="12"/>
  <c r="B69" i="12"/>
  <c r="C68" i="12"/>
  <c r="B68" i="12"/>
  <c r="C67" i="12"/>
  <c r="B67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B56" i="12"/>
  <c r="C55" i="12"/>
  <c r="B55" i="12"/>
  <c r="C54" i="12"/>
  <c r="B54" i="12"/>
  <c r="C53" i="12"/>
  <c r="B53" i="12"/>
  <c r="B52" i="12"/>
  <c r="C51" i="12"/>
  <c r="B51" i="12"/>
  <c r="C50" i="12"/>
  <c r="B50" i="12"/>
  <c r="B49" i="12"/>
  <c r="B48" i="12"/>
  <c r="C47" i="12"/>
  <c r="B47" i="12"/>
  <c r="B46" i="12"/>
  <c r="C45" i="12"/>
  <c r="B45" i="12"/>
  <c r="B44" i="12"/>
  <c r="C43" i="12"/>
  <c r="B43" i="12"/>
  <c r="C42" i="12"/>
  <c r="B42" i="12"/>
  <c r="B41" i="12"/>
  <c r="C40" i="12"/>
  <c r="B40" i="12"/>
  <c r="C39" i="12"/>
  <c r="B39" i="12"/>
  <c r="C38" i="12"/>
  <c r="B38" i="12"/>
  <c r="C37" i="12"/>
  <c r="B37" i="12"/>
  <c r="C36" i="12"/>
  <c r="B36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B17" i="12"/>
  <c r="B16" i="12"/>
  <c r="C15" i="12"/>
  <c r="B15" i="12"/>
  <c r="C14" i="12"/>
  <c r="B14" i="12"/>
  <c r="C13" i="12"/>
  <c r="B13" i="12"/>
  <c r="B12" i="12"/>
  <c r="C11" i="12"/>
  <c r="B11" i="12"/>
  <c r="B10" i="12"/>
  <c r="C9" i="12"/>
  <c r="B9" i="12"/>
  <c r="B8" i="12"/>
  <c r="C7" i="12"/>
  <c r="B7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5" i="9"/>
  <c r="F76" i="9"/>
  <c r="F78" i="9"/>
  <c r="F80" i="9"/>
  <c r="F81" i="9"/>
  <c r="F83" i="9"/>
  <c r="F85" i="9"/>
  <c r="F86" i="9"/>
  <c r="F89" i="9"/>
  <c r="F90" i="9"/>
  <c r="F92" i="9"/>
  <c r="F93" i="9"/>
  <c r="F94" i="9"/>
  <c r="F95" i="9"/>
  <c r="F96" i="9"/>
  <c r="F99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5" i="9"/>
  <c r="E76" i="9"/>
  <c r="E78" i="9"/>
  <c r="E80" i="9"/>
  <c r="E81" i="9"/>
  <c r="E83" i="9"/>
  <c r="E85" i="9"/>
  <c r="E86" i="9"/>
  <c r="E89" i="9"/>
  <c r="E90" i="9"/>
  <c r="E92" i="9"/>
  <c r="E93" i="9"/>
  <c r="E94" i="9"/>
  <c r="E95" i="9"/>
  <c r="E96" i="9"/>
  <c r="E99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V132" i="1"/>
  <c r="C132" i="12" s="1"/>
  <c r="W132" i="1"/>
  <c r="X132" i="1"/>
  <c r="Y132" i="1"/>
  <c r="Z132" i="1"/>
  <c r="Q159" i="12" l="1"/>
  <c r="I103" i="12"/>
  <c r="Q88" i="12"/>
  <c r="Q65" i="12"/>
  <c r="J191" i="12"/>
  <c r="J193" i="12"/>
  <c r="Q72" i="12"/>
  <c r="L200" i="12"/>
  <c r="Q108" i="12"/>
  <c r="J192" i="12"/>
  <c r="L60" i="12"/>
  <c r="P11" i="12"/>
  <c r="Q51" i="12"/>
  <c r="H41" i="12"/>
  <c r="K128" i="12"/>
  <c r="L59" i="12"/>
  <c r="H68" i="12"/>
  <c r="I104" i="12"/>
  <c r="K127" i="12"/>
  <c r="I52" i="12"/>
  <c r="M99" i="12"/>
  <c r="G91" i="12"/>
  <c r="I199" i="12"/>
  <c r="J112" i="12"/>
  <c r="L199" i="12"/>
  <c r="M12" i="12"/>
  <c r="H60" i="12"/>
  <c r="H164" i="12"/>
  <c r="L12" i="12"/>
  <c r="G108" i="12"/>
  <c r="H36" i="12"/>
  <c r="K91" i="12"/>
  <c r="G92" i="12"/>
  <c r="H28" i="12"/>
  <c r="J113" i="12"/>
  <c r="Q81" i="12"/>
  <c r="G60" i="12"/>
  <c r="H89" i="12"/>
  <c r="I39" i="12"/>
  <c r="J111" i="12"/>
  <c r="L155" i="12"/>
  <c r="M11" i="12"/>
  <c r="I83" i="12"/>
  <c r="M155" i="12"/>
  <c r="Q90" i="12"/>
  <c r="Q28" i="12"/>
  <c r="Q91" i="12"/>
  <c r="G28" i="12"/>
  <c r="I144" i="12"/>
  <c r="J44" i="12"/>
  <c r="L104" i="12"/>
  <c r="O135" i="12"/>
  <c r="G66" i="12"/>
  <c r="G193" i="12"/>
  <c r="Q17" i="12"/>
  <c r="Q58" i="12"/>
  <c r="G90" i="12"/>
  <c r="I168" i="12"/>
  <c r="J42" i="12"/>
  <c r="M153" i="12"/>
  <c r="Q73" i="12"/>
  <c r="G177" i="12"/>
  <c r="G89" i="12"/>
  <c r="G17" i="12"/>
  <c r="H122" i="12"/>
  <c r="I167" i="12"/>
  <c r="Q153" i="12"/>
  <c r="Q175" i="12"/>
  <c r="G146" i="12"/>
  <c r="Q18" i="12"/>
  <c r="Q49" i="12"/>
  <c r="Q71" i="12"/>
  <c r="Q80" i="12"/>
  <c r="Q96" i="12"/>
  <c r="Q143" i="12"/>
  <c r="Q183" i="12"/>
  <c r="G175" i="12"/>
  <c r="G145" i="12"/>
  <c r="G107" i="12"/>
  <c r="G79" i="12"/>
  <c r="G47" i="12"/>
  <c r="G15" i="12"/>
  <c r="H146" i="12"/>
  <c r="H59" i="12"/>
  <c r="H19" i="12"/>
  <c r="I149" i="12"/>
  <c r="I80" i="12"/>
  <c r="J167" i="12"/>
  <c r="J79" i="12"/>
  <c r="K200" i="12"/>
  <c r="K68" i="12"/>
  <c r="L8" i="12"/>
  <c r="M98" i="12"/>
  <c r="N72" i="12"/>
  <c r="P8" i="12"/>
  <c r="G34" i="12"/>
  <c r="G121" i="12"/>
  <c r="G151" i="12"/>
  <c r="H26" i="12"/>
  <c r="J9" i="12"/>
  <c r="K88" i="12"/>
  <c r="L154" i="12"/>
  <c r="L57" i="12"/>
  <c r="M105" i="12"/>
  <c r="Q9" i="12"/>
  <c r="J80" i="12"/>
  <c r="K87" i="12"/>
  <c r="Q10" i="12"/>
  <c r="Q161" i="12"/>
  <c r="Q191" i="12"/>
  <c r="G164" i="12"/>
  <c r="G136" i="12"/>
  <c r="G44" i="12"/>
  <c r="H143" i="12"/>
  <c r="I148" i="12"/>
  <c r="I79" i="12"/>
  <c r="I16" i="12"/>
  <c r="J144" i="12"/>
  <c r="J60" i="12"/>
  <c r="K167" i="12"/>
  <c r="L7" i="12"/>
  <c r="M60" i="12"/>
  <c r="O138" i="12"/>
  <c r="G194" i="12"/>
  <c r="G33" i="12"/>
  <c r="G178" i="12"/>
  <c r="N80" i="12"/>
  <c r="Q25" i="12"/>
  <c r="G176" i="12"/>
  <c r="H105" i="12"/>
  <c r="J7" i="12"/>
  <c r="Q57" i="12"/>
  <c r="Q87" i="12"/>
  <c r="Q97" i="12"/>
  <c r="Q199" i="12"/>
  <c r="G135" i="12"/>
  <c r="I200" i="12"/>
  <c r="J143" i="12"/>
  <c r="J45" i="12"/>
  <c r="K129" i="12"/>
  <c r="M13" i="12"/>
  <c r="O137" i="12"/>
  <c r="N174" i="12"/>
  <c r="P174" i="12"/>
  <c r="M174" i="12"/>
  <c r="L174" i="12"/>
  <c r="G174" i="12"/>
  <c r="K174" i="12"/>
  <c r="J174" i="12"/>
  <c r="I174" i="12"/>
  <c r="O174" i="12"/>
  <c r="N142" i="12"/>
  <c r="O142" i="12"/>
  <c r="P142" i="12"/>
  <c r="M142" i="12"/>
  <c r="K142" i="12"/>
  <c r="G142" i="12"/>
  <c r="L142" i="12"/>
  <c r="I142" i="12"/>
  <c r="P102" i="12"/>
  <c r="N102" i="12"/>
  <c r="L102" i="12"/>
  <c r="K102" i="12"/>
  <c r="G102" i="12"/>
  <c r="J102" i="12"/>
  <c r="O102" i="12"/>
  <c r="P78" i="12"/>
  <c r="O78" i="12"/>
  <c r="M78" i="12"/>
  <c r="L78" i="12"/>
  <c r="G78" i="12"/>
  <c r="K78" i="12"/>
  <c r="I78" i="12"/>
  <c r="P46" i="12"/>
  <c r="M46" i="12"/>
  <c r="L46" i="12"/>
  <c r="O46" i="12"/>
  <c r="J46" i="12"/>
  <c r="G46" i="12"/>
  <c r="N46" i="12"/>
  <c r="I46" i="12"/>
  <c r="P14" i="12"/>
  <c r="O14" i="12"/>
  <c r="M14" i="12"/>
  <c r="L14" i="12"/>
  <c r="G14" i="12"/>
  <c r="J14" i="12"/>
  <c r="K14" i="12"/>
  <c r="I14" i="12"/>
  <c r="I62" i="12"/>
  <c r="O173" i="12"/>
  <c r="M173" i="12"/>
  <c r="N173" i="12"/>
  <c r="P173" i="12"/>
  <c r="L173" i="12"/>
  <c r="G173" i="12"/>
  <c r="J173" i="12"/>
  <c r="K173" i="12"/>
  <c r="I173" i="12"/>
  <c r="H173" i="12"/>
  <c r="O141" i="12"/>
  <c r="P141" i="12"/>
  <c r="N141" i="12"/>
  <c r="M141" i="12"/>
  <c r="K141" i="12"/>
  <c r="G141" i="12"/>
  <c r="L141" i="12"/>
  <c r="J141" i="12"/>
  <c r="I141" i="12"/>
  <c r="H141" i="12"/>
  <c r="N117" i="12"/>
  <c r="O117" i="12"/>
  <c r="P117" i="12"/>
  <c r="G117" i="12"/>
  <c r="J117" i="12"/>
  <c r="K117" i="12"/>
  <c r="I117" i="12"/>
  <c r="L117" i="12"/>
  <c r="M117" i="12"/>
  <c r="H117" i="12"/>
  <c r="N85" i="12"/>
  <c r="O85" i="12"/>
  <c r="P85" i="12"/>
  <c r="G85" i="12"/>
  <c r="K85" i="12"/>
  <c r="J85" i="12"/>
  <c r="I85" i="12"/>
  <c r="H85" i="12"/>
  <c r="M85" i="12"/>
  <c r="N53" i="12"/>
  <c r="O53" i="12"/>
  <c r="P53" i="12"/>
  <c r="M53" i="12"/>
  <c r="G53" i="12"/>
  <c r="L53" i="12"/>
  <c r="K53" i="12"/>
  <c r="I53" i="12"/>
  <c r="J53" i="12"/>
  <c r="H53" i="12"/>
  <c r="N21" i="12"/>
  <c r="O21" i="12"/>
  <c r="P21" i="12"/>
  <c r="M21" i="12"/>
  <c r="J21" i="12"/>
  <c r="G21" i="12"/>
  <c r="K21" i="12"/>
  <c r="I21" i="12"/>
  <c r="L21" i="12"/>
  <c r="H21" i="12"/>
  <c r="I182" i="12"/>
  <c r="M102" i="12"/>
  <c r="O188" i="12"/>
  <c r="N188" i="12"/>
  <c r="P188" i="12"/>
  <c r="L188" i="12"/>
  <c r="K188" i="12"/>
  <c r="J188" i="12"/>
  <c r="M188" i="12"/>
  <c r="O156" i="12"/>
  <c r="N156" i="12"/>
  <c r="L156" i="12"/>
  <c r="J156" i="12"/>
  <c r="P156" i="12"/>
  <c r="K156" i="12"/>
  <c r="O124" i="12"/>
  <c r="M124" i="12"/>
  <c r="P124" i="12"/>
  <c r="N124" i="12"/>
  <c r="L124" i="12"/>
  <c r="K124" i="12"/>
  <c r="J124" i="12"/>
  <c r="O100" i="12"/>
  <c r="N100" i="12"/>
  <c r="M100" i="12"/>
  <c r="P100" i="12"/>
  <c r="L100" i="12"/>
  <c r="J100" i="12"/>
  <c r="K100" i="12"/>
  <c r="I100" i="12"/>
  <c r="H37" i="12"/>
  <c r="J142" i="12"/>
  <c r="P195" i="12"/>
  <c r="N195" i="12"/>
  <c r="O195" i="12"/>
  <c r="M195" i="12"/>
  <c r="K195" i="12"/>
  <c r="I195" i="12"/>
  <c r="J195" i="12"/>
  <c r="H195" i="12"/>
  <c r="P171" i="12"/>
  <c r="N171" i="12"/>
  <c r="K171" i="12"/>
  <c r="M171" i="12"/>
  <c r="L171" i="12"/>
  <c r="I171" i="12"/>
  <c r="J171" i="12"/>
  <c r="H171" i="12"/>
  <c r="O171" i="12"/>
  <c r="P147" i="12"/>
  <c r="N147" i="12"/>
  <c r="L147" i="12"/>
  <c r="O147" i="12"/>
  <c r="K147" i="12"/>
  <c r="M147" i="12"/>
  <c r="I147" i="12"/>
  <c r="J147" i="12"/>
  <c r="G147" i="12"/>
  <c r="O123" i="12"/>
  <c r="P123" i="12"/>
  <c r="N123" i="12"/>
  <c r="L123" i="12"/>
  <c r="M123" i="12"/>
  <c r="K123" i="12"/>
  <c r="J123" i="12"/>
  <c r="P91" i="12"/>
  <c r="O91" i="12"/>
  <c r="N91" i="12"/>
  <c r="M91" i="12"/>
  <c r="J91" i="12"/>
  <c r="L91" i="12"/>
  <c r="P67" i="12"/>
  <c r="N67" i="12"/>
  <c r="M67" i="12"/>
  <c r="J67" i="12"/>
  <c r="L67" i="12"/>
  <c r="I67" i="12"/>
  <c r="P43" i="12"/>
  <c r="O43" i="12"/>
  <c r="M43" i="12"/>
  <c r="K43" i="12"/>
  <c r="L43" i="12"/>
  <c r="I43" i="12"/>
  <c r="N43" i="12"/>
  <c r="H43" i="12"/>
  <c r="P19" i="12"/>
  <c r="N19" i="12"/>
  <c r="M19" i="12"/>
  <c r="L19" i="12"/>
  <c r="J19" i="12"/>
  <c r="K19" i="12"/>
  <c r="O19" i="12"/>
  <c r="G19" i="12"/>
  <c r="G27" i="12"/>
  <c r="H156" i="12"/>
  <c r="H102" i="12"/>
  <c r="H69" i="12"/>
  <c r="I180" i="12"/>
  <c r="I101" i="12"/>
  <c r="O134" i="12"/>
  <c r="N194" i="12"/>
  <c r="O194" i="12"/>
  <c r="M194" i="12"/>
  <c r="I194" i="12"/>
  <c r="L194" i="12"/>
  <c r="J194" i="12"/>
  <c r="H194" i="12"/>
  <c r="K194" i="12"/>
  <c r="N186" i="12"/>
  <c r="P186" i="12"/>
  <c r="M186" i="12"/>
  <c r="K186" i="12"/>
  <c r="O186" i="12"/>
  <c r="I186" i="12"/>
  <c r="L186" i="12"/>
  <c r="J186" i="12"/>
  <c r="N178" i="12"/>
  <c r="O178" i="12"/>
  <c r="M178" i="12"/>
  <c r="J178" i="12"/>
  <c r="K178" i="12"/>
  <c r="P178" i="12"/>
  <c r="I178" i="12"/>
  <c r="N170" i="12"/>
  <c r="P170" i="12"/>
  <c r="J170" i="12"/>
  <c r="L170" i="12"/>
  <c r="K170" i="12"/>
  <c r="I170" i="12"/>
  <c r="O170" i="12"/>
  <c r="M170" i="12"/>
  <c r="G170" i="12"/>
  <c r="N162" i="12"/>
  <c r="O162" i="12"/>
  <c r="J162" i="12"/>
  <c r="M162" i="12"/>
  <c r="I162" i="12"/>
  <c r="L162" i="12"/>
  <c r="K162" i="12"/>
  <c r="H162" i="12"/>
  <c r="P162" i="12"/>
  <c r="N154" i="12"/>
  <c r="P154" i="12"/>
  <c r="O154" i="12"/>
  <c r="J154" i="12"/>
  <c r="I154" i="12"/>
  <c r="K154" i="12"/>
  <c r="N146" i="12"/>
  <c r="P146" i="12"/>
  <c r="O146" i="12"/>
  <c r="M146" i="12"/>
  <c r="L146" i="12"/>
  <c r="J146" i="12"/>
  <c r="I146" i="12"/>
  <c r="N138" i="12"/>
  <c r="L138" i="12"/>
  <c r="J138" i="12"/>
  <c r="P138" i="12"/>
  <c r="I138" i="12"/>
  <c r="M138" i="12"/>
  <c r="K138" i="12"/>
  <c r="G138" i="12"/>
  <c r="L130" i="12"/>
  <c r="O130" i="12"/>
  <c r="J130" i="12"/>
  <c r="P122" i="12"/>
  <c r="N122" i="12"/>
  <c r="L122" i="12"/>
  <c r="M122" i="12"/>
  <c r="K122" i="12"/>
  <c r="J122" i="12"/>
  <c r="O122" i="12"/>
  <c r="I122" i="12"/>
  <c r="P114" i="12"/>
  <c r="N114" i="12"/>
  <c r="L114" i="12"/>
  <c r="K114" i="12"/>
  <c r="O114" i="12"/>
  <c r="J114" i="12"/>
  <c r="I114" i="12"/>
  <c r="M114" i="12"/>
  <c r="P106" i="12"/>
  <c r="N106" i="12"/>
  <c r="L106" i="12"/>
  <c r="K106" i="12"/>
  <c r="M106" i="12"/>
  <c r="J106" i="12"/>
  <c r="I106" i="12"/>
  <c r="H106" i="12"/>
  <c r="O106" i="12"/>
  <c r="G106" i="12"/>
  <c r="P98" i="12"/>
  <c r="N98" i="12"/>
  <c r="L98" i="12"/>
  <c r="K98" i="12"/>
  <c r="J98" i="12"/>
  <c r="I98" i="12"/>
  <c r="O98" i="12"/>
  <c r="H98" i="12"/>
  <c r="P90" i="12"/>
  <c r="N90" i="12"/>
  <c r="O90" i="12"/>
  <c r="M90" i="12"/>
  <c r="L90" i="12"/>
  <c r="K90" i="12"/>
  <c r="J90" i="12"/>
  <c r="I90" i="12"/>
  <c r="P82" i="12"/>
  <c r="N82" i="12"/>
  <c r="L82" i="12"/>
  <c r="M82" i="12"/>
  <c r="K82" i="12"/>
  <c r="O82" i="12"/>
  <c r="J82" i="12"/>
  <c r="I82" i="12"/>
  <c r="P74" i="12"/>
  <c r="N74" i="12"/>
  <c r="L74" i="12"/>
  <c r="O74" i="12"/>
  <c r="K74" i="12"/>
  <c r="J74" i="12"/>
  <c r="M74" i="12"/>
  <c r="I74" i="12"/>
  <c r="H74" i="12"/>
  <c r="G74" i="12"/>
  <c r="P66" i="12"/>
  <c r="N66" i="12"/>
  <c r="O66" i="12"/>
  <c r="L66" i="12"/>
  <c r="M66" i="12"/>
  <c r="K66" i="12"/>
  <c r="J66" i="12"/>
  <c r="I66" i="12"/>
  <c r="H66" i="12"/>
  <c r="P58" i="12"/>
  <c r="N58" i="12"/>
  <c r="M58" i="12"/>
  <c r="L58" i="12"/>
  <c r="O58" i="12"/>
  <c r="K58" i="12"/>
  <c r="J58" i="12"/>
  <c r="I58" i="12"/>
  <c r="P50" i="12"/>
  <c r="N50" i="12"/>
  <c r="L50" i="12"/>
  <c r="K50" i="12"/>
  <c r="O50" i="12"/>
  <c r="M50" i="12"/>
  <c r="J50" i="12"/>
  <c r="I50" i="12"/>
  <c r="G50" i="12"/>
  <c r="P42" i="12"/>
  <c r="N42" i="12"/>
  <c r="L42" i="12"/>
  <c r="O42" i="12"/>
  <c r="M42" i="12"/>
  <c r="K42" i="12"/>
  <c r="I42" i="12"/>
  <c r="H42" i="12"/>
  <c r="G42" i="12"/>
  <c r="P34" i="12"/>
  <c r="N34" i="12"/>
  <c r="L34" i="12"/>
  <c r="K34" i="12"/>
  <c r="I34" i="12"/>
  <c r="M34" i="12"/>
  <c r="J34" i="12"/>
  <c r="O34" i="12"/>
  <c r="H34" i="12"/>
  <c r="P26" i="12"/>
  <c r="N26" i="12"/>
  <c r="O26" i="12"/>
  <c r="M26" i="12"/>
  <c r="L26" i="12"/>
  <c r="K26" i="12"/>
  <c r="I26" i="12"/>
  <c r="P18" i="12"/>
  <c r="N18" i="12"/>
  <c r="L18" i="12"/>
  <c r="M18" i="12"/>
  <c r="K18" i="12"/>
  <c r="O18" i="12"/>
  <c r="I18" i="12"/>
  <c r="G18" i="12"/>
  <c r="J18" i="12"/>
  <c r="P10" i="12"/>
  <c r="N10" i="12"/>
  <c r="L10" i="12"/>
  <c r="O10" i="12"/>
  <c r="K10" i="12"/>
  <c r="J10" i="12"/>
  <c r="I10" i="12"/>
  <c r="H10" i="12"/>
  <c r="G10" i="12"/>
  <c r="G186" i="12"/>
  <c r="G172" i="12"/>
  <c r="G156" i="12"/>
  <c r="G130" i="12"/>
  <c r="G114" i="12"/>
  <c r="G100" i="12"/>
  <c r="G72" i="12"/>
  <c r="G58" i="12"/>
  <c r="G43" i="12"/>
  <c r="G26" i="12"/>
  <c r="H188" i="12"/>
  <c r="H170" i="12"/>
  <c r="H155" i="12"/>
  <c r="H135" i="12"/>
  <c r="H50" i="12"/>
  <c r="H35" i="12"/>
  <c r="I8" i="12"/>
  <c r="J183" i="12"/>
  <c r="J158" i="12"/>
  <c r="J27" i="12"/>
  <c r="K149" i="12"/>
  <c r="L178" i="12"/>
  <c r="L134" i="12"/>
  <c r="L85" i="12"/>
  <c r="M182" i="12"/>
  <c r="M62" i="12"/>
  <c r="N14" i="12"/>
  <c r="O71" i="12"/>
  <c r="N198" i="12"/>
  <c r="O198" i="12"/>
  <c r="M198" i="12"/>
  <c r="K198" i="12"/>
  <c r="G198" i="12"/>
  <c r="J198" i="12"/>
  <c r="Q166" i="12"/>
  <c r="N166" i="12"/>
  <c r="P166" i="12"/>
  <c r="G166" i="12"/>
  <c r="O166" i="12"/>
  <c r="M166" i="12"/>
  <c r="L166" i="12"/>
  <c r="N134" i="12"/>
  <c r="P134" i="12"/>
  <c r="K134" i="12"/>
  <c r="G134" i="12"/>
  <c r="J134" i="12"/>
  <c r="P110" i="12"/>
  <c r="M110" i="12"/>
  <c r="O110" i="12"/>
  <c r="L110" i="12"/>
  <c r="G110" i="12"/>
  <c r="N110" i="12"/>
  <c r="I110" i="12"/>
  <c r="P70" i="12"/>
  <c r="N70" i="12"/>
  <c r="M70" i="12"/>
  <c r="K70" i="12"/>
  <c r="G70" i="12"/>
  <c r="J70" i="12"/>
  <c r="L70" i="12"/>
  <c r="P38" i="12"/>
  <c r="N38" i="12"/>
  <c r="O38" i="12"/>
  <c r="L38" i="12"/>
  <c r="K38" i="12"/>
  <c r="J38" i="12"/>
  <c r="G38" i="12"/>
  <c r="M38" i="12"/>
  <c r="P6" i="12"/>
  <c r="O6" i="12"/>
  <c r="M6" i="12"/>
  <c r="K6" i="12"/>
  <c r="G6" i="12"/>
  <c r="H110" i="12"/>
  <c r="L158" i="12"/>
  <c r="O189" i="12"/>
  <c r="N189" i="12"/>
  <c r="M189" i="12"/>
  <c r="P189" i="12"/>
  <c r="L189" i="12"/>
  <c r="K189" i="12"/>
  <c r="G189" i="12"/>
  <c r="J189" i="12"/>
  <c r="O157" i="12"/>
  <c r="P157" i="12"/>
  <c r="M157" i="12"/>
  <c r="N157" i="12"/>
  <c r="L157" i="12"/>
  <c r="G157" i="12"/>
  <c r="J157" i="12"/>
  <c r="K157" i="12"/>
  <c r="N125" i="12"/>
  <c r="O125" i="12"/>
  <c r="P125" i="12"/>
  <c r="M125" i="12"/>
  <c r="L125" i="12"/>
  <c r="G125" i="12"/>
  <c r="K125" i="12"/>
  <c r="J125" i="12"/>
  <c r="N93" i="12"/>
  <c r="O93" i="12"/>
  <c r="P93" i="12"/>
  <c r="M93" i="12"/>
  <c r="L93" i="12"/>
  <c r="K93" i="12"/>
  <c r="G93" i="12"/>
  <c r="J93" i="12"/>
  <c r="N61" i="12"/>
  <c r="O61" i="12"/>
  <c r="L61" i="12"/>
  <c r="K61" i="12"/>
  <c r="G61" i="12"/>
  <c r="P61" i="12"/>
  <c r="N29" i="12"/>
  <c r="O29" i="12"/>
  <c r="P29" i="12"/>
  <c r="M29" i="12"/>
  <c r="L29" i="12"/>
  <c r="K29" i="12"/>
  <c r="J29" i="12"/>
  <c r="G29" i="12"/>
  <c r="I125" i="12"/>
  <c r="K166" i="12"/>
  <c r="O196" i="12"/>
  <c r="P196" i="12"/>
  <c r="L196" i="12"/>
  <c r="M196" i="12"/>
  <c r="K196" i="12"/>
  <c r="J196" i="12"/>
  <c r="N196" i="12"/>
  <c r="I196" i="12"/>
  <c r="O164" i="12"/>
  <c r="P164" i="12"/>
  <c r="L164" i="12"/>
  <c r="N164" i="12"/>
  <c r="J164" i="12"/>
  <c r="M164" i="12"/>
  <c r="I164" i="12"/>
  <c r="O132" i="12"/>
  <c r="P132" i="12"/>
  <c r="M132" i="12"/>
  <c r="K132" i="12"/>
  <c r="N132" i="12"/>
  <c r="J132" i="12"/>
  <c r="I132" i="12"/>
  <c r="O108" i="12"/>
  <c r="M108" i="12"/>
  <c r="J108" i="12"/>
  <c r="N108" i="12"/>
  <c r="I108" i="12"/>
  <c r="H108" i="12"/>
  <c r="G132" i="12"/>
  <c r="H157" i="12"/>
  <c r="H70" i="12"/>
  <c r="I166" i="12"/>
  <c r="I102" i="12"/>
  <c r="I38" i="12"/>
  <c r="P187" i="12"/>
  <c r="N187" i="12"/>
  <c r="M187" i="12"/>
  <c r="K187" i="12"/>
  <c r="O187" i="12"/>
  <c r="I187" i="12"/>
  <c r="L187" i="12"/>
  <c r="J187" i="12"/>
  <c r="P163" i="12"/>
  <c r="N163" i="12"/>
  <c r="O163" i="12"/>
  <c r="K163" i="12"/>
  <c r="M163" i="12"/>
  <c r="I163" i="12"/>
  <c r="L163" i="12"/>
  <c r="J163" i="12"/>
  <c r="H163" i="12"/>
  <c r="P139" i="12"/>
  <c r="N139" i="12"/>
  <c r="L139" i="12"/>
  <c r="O139" i="12"/>
  <c r="K139" i="12"/>
  <c r="I139" i="12"/>
  <c r="M139" i="12"/>
  <c r="H139" i="12"/>
  <c r="P115" i="12"/>
  <c r="O115" i="12"/>
  <c r="N115" i="12"/>
  <c r="J115" i="12"/>
  <c r="K115" i="12"/>
  <c r="L115" i="12"/>
  <c r="M115" i="12"/>
  <c r="G115" i="12"/>
  <c r="N83" i="12"/>
  <c r="L83" i="12"/>
  <c r="P83" i="12"/>
  <c r="O83" i="12"/>
  <c r="K83" i="12"/>
  <c r="J83" i="12"/>
  <c r="M83" i="12"/>
  <c r="G83" i="12"/>
  <c r="Q59" i="12"/>
  <c r="O59" i="12"/>
  <c r="N59" i="12"/>
  <c r="J59" i="12"/>
  <c r="P59" i="12"/>
  <c r="K59" i="12"/>
  <c r="N35" i="12"/>
  <c r="P35" i="12"/>
  <c r="M35" i="12"/>
  <c r="K35" i="12"/>
  <c r="J35" i="12"/>
  <c r="I35" i="12"/>
  <c r="O35" i="12"/>
  <c r="P27" i="12"/>
  <c r="O27" i="12"/>
  <c r="N27" i="12"/>
  <c r="L27" i="12"/>
  <c r="M27" i="12"/>
  <c r="G59" i="12"/>
  <c r="H174" i="12"/>
  <c r="H51" i="12"/>
  <c r="I198" i="12"/>
  <c r="I123" i="12"/>
  <c r="J190" i="12"/>
  <c r="J139" i="12"/>
  <c r="J78" i="12"/>
  <c r="K126" i="12"/>
  <c r="L6" i="12"/>
  <c r="Q43" i="12"/>
  <c r="Q110" i="12"/>
  <c r="Q124" i="12"/>
  <c r="Q167" i="12"/>
  <c r="O193" i="12"/>
  <c r="N193" i="12"/>
  <c r="L193" i="12"/>
  <c r="H193" i="12"/>
  <c r="I193" i="12"/>
  <c r="K193" i="12"/>
  <c r="M193" i="12"/>
  <c r="P185" i="12"/>
  <c r="N185" i="12"/>
  <c r="O185" i="12"/>
  <c r="M185" i="12"/>
  <c r="H185" i="12"/>
  <c r="L185" i="12"/>
  <c r="J185" i="12"/>
  <c r="I185" i="12"/>
  <c r="N177" i="12"/>
  <c r="O177" i="12"/>
  <c r="M177" i="12"/>
  <c r="K177" i="12"/>
  <c r="P177" i="12"/>
  <c r="H177" i="12"/>
  <c r="O169" i="12"/>
  <c r="N169" i="12"/>
  <c r="P169" i="12"/>
  <c r="M169" i="12"/>
  <c r="L169" i="12"/>
  <c r="K169" i="12"/>
  <c r="H169" i="12"/>
  <c r="G169" i="12"/>
  <c r="O161" i="12"/>
  <c r="N161" i="12"/>
  <c r="M161" i="12"/>
  <c r="L161" i="12"/>
  <c r="K161" i="12"/>
  <c r="H161" i="12"/>
  <c r="I161" i="12"/>
  <c r="P161" i="12"/>
  <c r="J161" i="12"/>
  <c r="N153" i="12"/>
  <c r="O153" i="12"/>
  <c r="K153" i="12"/>
  <c r="H153" i="12"/>
  <c r="P153" i="12"/>
  <c r="I153" i="12"/>
  <c r="P145" i="12"/>
  <c r="O145" i="12"/>
  <c r="H145" i="12"/>
  <c r="J145" i="12"/>
  <c r="M145" i="12"/>
  <c r="L145" i="12"/>
  <c r="N137" i="12"/>
  <c r="P137" i="12"/>
  <c r="M137" i="12"/>
  <c r="L137" i="12"/>
  <c r="H137" i="12"/>
  <c r="K137" i="12"/>
  <c r="G137" i="12"/>
  <c r="J137" i="12"/>
  <c r="N129" i="12"/>
  <c r="P129" i="12"/>
  <c r="O129" i="12"/>
  <c r="L129" i="12"/>
  <c r="I129" i="12"/>
  <c r="H129" i="12"/>
  <c r="N121" i="12"/>
  <c r="P121" i="12"/>
  <c r="M121" i="12"/>
  <c r="K121" i="12"/>
  <c r="O121" i="12"/>
  <c r="I121" i="12"/>
  <c r="L121" i="12"/>
  <c r="J121" i="12"/>
  <c r="N113" i="12"/>
  <c r="O113" i="12"/>
  <c r="M113" i="12"/>
  <c r="K113" i="12"/>
  <c r="L113" i="12"/>
  <c r="I113" i="12"/>
  <c r="N105" i="12"/>
  <c r="P105" i="12"/>
  <c r="O105" i="12"/>
  <c r="K105" i="12"/>
  <c r="I105" i="12"/>
  <c r="G105" i="12"/>
  <c r="J105" i="12"/>
  <c r="N97" i="12"/>
  <c r="P97" i="12"/>
  <c r="K97" i="12"/>
  <c r="O97" i="12"/>
  <c r="L97" i="12"/>
  <c r="I97" i="12"/>
  <c r="M97" i="12"/>
  <c r="H97" i="12"/>
  <c r="N89" i="12"/>
  <c r="P89" i="12"/>
  <c r="O89" i="12"/>
  <c r="M89" i="12"/>
  <c r="K89" i="12"/>
  <c r="I89" i="12"/>
  <c r="L89" i="12"/>
  <c r="J89" i="12"/>
  <c r="N81" i="12"/>
  <c r="P81" i="12"/>
  <c r="M81" i="12"/>
  <c r="K81" i="12"/>
  <c r="O81" i="12"/>
  <c r="I81" i="12"/>
  <c r="N73" i="12"/>
  <c r="O73" i="12"/>
  <c r="P73" i="12"/>
  <c r="L73" i="12"/>
  <c r="K73" i="12"/>
  <c r="M73" i="12"/>
  <c r="I73" i="12"/>
  <c r="G73" i="12"/>
  <c r="J73" i="12"/>
  <c r="N65" i="12"/>
  <c r="P65" i="12"/>
  <c r="O65" i="12"/>
  <c r="M65" i="12"/>
  <c r="K65" i="12"/>
  <c r="L65" i="12"/>
  <c r="J65" i="12"/>
  <c r="I65" i="12"/>
  <c r="H65" i="12"/>
  <c r="N57" i="12"/>
  <c r="O57" i="12"/>
  <c r="K57" i="12"/>
  <c r="M57" i="12"/>
  <c r="J57" i="12"/>
  <c r="I57" i="12"/>
  <c r="P57" i="12"/>
  <c r="N49" i="12"/>
  <c r="K49" i="12"/>
  <c r="P49" i="12"/>
  <c r="L49" i="12"/>
  <c r="O49" i="12"/>
  <c r="M49" i="12"/>
  <c r="J49" i="12"/>
  <c r="I49" i="12"/>
  <c r="N41" i="12"/>
  <c r="P41" i="12"/>
  <c r="O41" i="12"/>
  <c r="M41" i="12"/>
  <c r="K41" i="12"/>
  <c r="I41" i="12"/>
  <c r="L41" i="12"/>
  <c r="J41" i="12"/>
  <c r="G41" i="12"/>
  <c r="N33" i="12"/>
  <c r="K33" i="12"/>
  <c r="M33" i="12"/>
  <c r="P33" i="12"/>
  <c r="I33" i="12"/>
  <c r="J33" i="12"/>
  <c r="O33" i="12"/>
  <c r="H33" i="12"/>
  <c r="N25" i="12"/>
  <c r="P25" i="12"/>
  <c r="O25" i="12"/>
  <c r="K25" i="12"/>
  <c r="L25" i="12"/>
  <c r="M25" i="12"/>
  <c r="I25" i="12"/>
  <c r="N17" i="12"/>
  <c r="P17" i="12"/>
  <c r="M17" i="12"/>
  <c r="K17" i="12"/>
  <c r="O17" i="12"/>
  <c r="I17" i="12"/>
  <c r="L17" i="12"/>
  <c r="J17" i="12"/>
  <c r="N9" i="12"/>
  <c r="O9" i="12"/>
  <c r="L9" i="12"/>
  <c r="K9" i="12"/>
  <c r="M9" i="12"/>
  <c r="I9" i="12"/>
  <c r="G9" i="12"/>
  <c r="G199" i="12"/>
  <c r="G185" i="12"/>
  <c r="G171" i="12"/>
  <c r="G155" i="12"/>
  <c r="G129" i="12"/>
  <c r="G113" i="12"/>
  <c r="G99" i="12"/>
  <c r="G71" i="12"/>
  <c r="G57" i="12"/>
  <c r="G25" i="12"/>
  <c r="G7" i="12"/>
  <c r="H187" i="12"/>
  <c r="H154" i="12"/>
  <c r="H134" i="12"/>
  <c r="H115" i="12"/>
  <c r="H100" i="12"/>
  <c r="H82" i="12"/>
  <c r="H67" i="12"/>
  <c r="H49" i="12"/>
  <c r="H29" i="12"/>
  <c r="H14" i="12"/>
  <c r="I115" i="12"/>
  <c r="I93" i="12"/>
  <c r="I29" i="12"/>
  <c r="I7" i="12"/>
  <c r="J182" i="12"/>
  <c r="J26" i="12"/>
  <c r="K148" i="12"/>
  <c r="K110" i="12"/>
  <c r="L177" i="12"/>
  <c r="L81" i="12"/>
  <c r="L33" i="12"/>
  <c r="M129" i="12"/>
  <c r="M61" i="12"/>
  <c r="O70" i="12"/>
  <c r="N190" i="12"/>
  <c r="O190" i="12"/>
  <c r="K190" i="12"/>
  <c r="G190" i="12"/>
  <c r="M190" i="12"/>
  <c r="L190" i="12"/>
  <c r="N158" i="12"/>
  <c r="P158" i="12"/>
  <c r="M158" i="12"/>
  <c r="O158" i="12"/>
  <c r="G158" i="12"/>
  <c r="K158" i="12"/>
  <c r="P118" i="12"/>
  <c r="O118" i="12"/>
  <c r="N118" i="12"/>
  <c r="G118" i="12"/>
  <c r="J118" i="12"/>
  <c r="K118" i="12"/>
  <c r="I118" i="12"/>
  <c r="L118" i="12"/>
  <c r="M118" i="12"/>
  <c r="H118" i="12"/>
  <c r="P86" i="12"/>
  <c r="N86" i="12"/>
  <c r="M86" i="12"/>
  <c r="L86" i="12"/>
  <c r="O86" i="12"/>
  <c r="G86" i="12"/>
  <c r="J86" i="12"/>
  <c r="I86" i="12"/>
  <c r="H86" i="12"/>
  <c r="P54" i="12"/>
  <c r="O54" i="12"/>
  <c r="N54" i="12"/>
  <c r="M54" i="12"/>
  <c r="G54" i="12"/>
  <c r="K54" i="12"/>
  <c r="I54" i="12"/>
  <c r="J54" i="12"/>
  <c r="H54" i="12"/>
  <c r="P22" i="12"/>
  <c r="O22" i="12"/>
  <c r="N22" i="12"/>
  <c r="M22" i="12"/>
  <c r="J22" i="12"/>
  <c r="G22" i="12"/>
  <c r="I22" i="12"/>
  <c r="L22" i="12"/>
  <c r="H22" i="12"/>
  <c r="H6" i="12"/>
  <c r="P198" i="12"/>
  <c r="O197" i="12"/>
  <c r="P197" i="12"/>
  <c r="M197" i="12"/>
  <c r="N197" i="12"/>
  <c r="L197" i="12"/>
  <c r="K197" i="12"/>
  <c r="G197" i="12"/>
  <c r="J197" i="12"/>
  <c r="I197" i="12"/>
  <c r="O165" i="12"/>
  <c r="N165" i="12"/>
  <c r="M165" i="12"/>
  <c r="P165" i="12"/>
  <c r="L165" i="12"/>
  <c r="G165" i="12"/>
  <c r="J165" i="12"/>
  <c r="I165" i="12"/>
  <c r="O133" i="12"/>
  <c r="P133" i="12"/>
  <c r="M133" i="12"/>
  <c r="K133" i="12"/>
  <c r="G133" i="12"/>
  <c r="N133" i="12"/>
  <c r="J133" i="12"/>
  <c r="I133" i="12"/>
  <c r="N101" i="12"/>
  <c r="O101" i="12"/>
  <c r="P101" i="12"/>
  <c r="M101" i="12"/>
  <c r="L101" i="12"/>
  <c r="G101" i="12"/>
  <c r="J101" i="12"/>
  <c r="K101" i="12"/>
  <c r="N69" i="12"/>
  <c r="O69" i="12"/>
  <c r="P69" i="12"/>
  <c r="M69" i="12"/>
  <c r="G69" i="12"/>
  <c r="J69" i="12"/>
  <c r="L69" i="12"/>
  <c r="N37" i="12"/>
  <c r="O37" i="12"/>
  <c r="P37" i="12"/>
  <c r="L37" i="12"/>
  <c r="J37" i="12"/>
  <c r="G37" i="12"/>
  <c r="M37" i="12"/>
  <c r="K37" i="12"/>
  <c r="H158" i="12"/>
  <c r="I61" i="12"/>
  <c r="K46" i="12"/>
  <c r="Q134" i="12"/>
  <c r="O180" i="12"/>
  <c r="L180" i="12"/>
  <c r="K180" i="12"/>
  <c r="J180" i="12"/>
  <c r="P180" i="12"/>
  <c r="N180" i="12"/>
  <c r="G180" i="12"/>
  <c r="O148" i="12"/>
  <c r="P148" i="12"/>
  <c r="L148" i="12"/>
  <c r="M148" i="12"/>
  <c r="J148" i="12"/>
  <c r="G148" i="12"/>
  <c r="O92" i="12"/>
  <c r="P92" i="12"/>
  <c r="M92" i="12"/>
  <c r="L92" i="12"/>
  <c r="N92" i="12"/>
  <c r="K92" i="12"/>
  <c r="J92" i="12"/>
  <c r="N78" i="12"/>
  <c r="Q142" i="12"/>
  <c r="P179" i="12"/>
  <c r="N179" i="12"/>
  <c r="O179" i="12"/>
  <c r="K179" i="12"/>
  <c r="L179" i="12"/>
  <c r="I179" i="12"/>
  <c r="G179" i="12"/>
  <c r="P155" i="12"/>
  <c r="N155" i="12"/>
  <c r="O155" i="12"/>
  <c r="K155" i="12"/>
  <c r="I155" i="12"/>
  <c r="Q131" i="12"/>
  <c r="P131" i="12"/>
  <c r="N131" i="12"/>
  <c r="L131" i="12"/>
  <c r="M131" i="12"/>
  <c r="O131" i="12"/>
  <c r="K131" i="12"/>
  <c r="J131" i="12"/>
  <c r="I131" i="12"/>
  <c r="H131" i="12"/>
  <c r="P107" i="12"/>
  <c r="O107" i="12"/>
  <c r="N107" i="12"/>
  <c r="M107" i="12"/>
  <c r="J107" i="12"/>
  <c r="K107" i="12"/>
  <c r="I107" i="12"/>
  <c r="H107" i="12"/>
  <c r="N75" i="12"/>
  <c r="O75" i="12"/>
  <c r="P75" i="12"/>
  <c r="L75" i="12"/>
  <c r="J75" i="12"/>
  <c r="M75" i="12"/>
  <c r="K75" i="12"/>
  <c r="I75" i="12"/>
  <c r="H75" i="12"/>
  <c r="P51" i="12"/>
  <c r="O51" i="12"/>
  <c r="N51" i="12"/>
  <c r="L51" i="12"/>
  <c r="K51" i="12"/>
  <c r="M51" i="12"/>
  <c r="J51" i="12"/>
  <c r="G51" i="12"/>
  <c r="N11" i="12"/>
  <c r="L11" i="12"/>
  <c r="O11" i="12"/>
  <c r="J11" i="12"/>
  <c r="K11" i="12"/>
  <c r="I11" i="12"/>
  <c r="H11" i="12"/>
  <c r="L195" i="12"/>
  <c r="Q13" i="12"/>
  <c r="Q164" i="12"/>
  <c r="O200" i="12"/>
  <c r="P200" i="12"/>
  <c r="N200" i="12"/>
  <c r="H200" i="12"/>
  <c r="M200" i="12"/>
  <c r="O192" i="12"/>
  <c r="P192" i="12"/>
  <c r="N192" i="12"/>
  <c r="L192" i="12"/>
  <c r="H192" i="12"/>
  <c r="K192" i="12"/>
  <c r="M192" i="12"/>
  <c r="G192" i="12"/>
  <c r="O184" i="12"/>
  <c r="P184" i="12"/>
  <c r="N184" i="12"/>
  <c r="M184" i="12"/>
  <c r="H184" i="12"/>
  <c r="L184" i="12"/>
  <c r="J184" i="12"/>
  <c r="I184" i="12"/>
  <c r="O176" i="12"/>
  <c r="P176" i="12"/>
  <c r="N176" i="12"/>
  <c r="H176" i="12"/>
  <c r="K176" i="12"/>
  <c r="J176" i="12"/>
  <c r="O168" i="12"/>
  <c r="P168" i="12"/>
  <c r="M168" i="12"/>
  <c r="K168" i="12"/>
  <c r="H168" i="12"/>
  <c r="N168" i="12"/>
  <c r="L168" i="12"/>
  <c r="O160" i="12"/>
  <c r="P160" i="12"/>
  <c r="M160" i="12"/>
  <c r="N160" i="12"/>
  <c r="L160" i="12"/>
  <c r="K160" i="12"/>
  <c r="H160" i="12"/>
  <c r="J160" i="12"/>
  <c r="G160" i="12"/>
  <c r="O152" i="12"/>
  <c r="P152" i="12"/>
  <c r="N152" i="12"/>
  <c r="K152" i="12"/>
  <c r="H152" i="12"/>
  <c r="M152" i="12"/>
  <c r="L152" i="12"/>
  <c r="I152" i="12"/>
  <c r="O144" i="12"/>
  <c r="P144" i="12"/>
  <c r="H144" i="12"/>
  <c r="K144" i="12"/>
  <c r="M144" i="12"/>
  <c r="L144" i="12"/>
  <c r="O136" i="12"/>
  <c r="P136" i="12"/>
  <c r="N136" i="12"/>
  <c r="M136" i="12"/>
  <c r="L136" i="12"/>
  <c r="H136" i="12"/>
  <c r="K136" i="12"/>
  <c r="J136" i="12"/>
  <c r="O128" i="12"/>
  <c r="P128" i="12"/>
  <c r="L128" i="12"/>
  <c r="N128" i="12"/>
  <c r="H128" i="12"/>
  <c r="I128" i="12"/>
  <c r="G128" i="12"/>
  <c r="O120" i="12"/>
  <c r="P120" i="12"/>
  <c r="N120" i="12"/>
  <c r="L120" i="12"/>
  <c r="M120" i="12"/>
  <c r="H120" i="12"/>
  <c r="J120" i="12"/>
  <c r="K120" i="12"/>
  <c r="I120" i="12"/>
  <c r="O112" i="12"/>
  <c r="N112" i="12"/>
  <c r="M112" i="12"/>
  <c r="K112" i="12"/>
  <c r="L112" i="12"/>
  <c r="H112" i="12"/>
  <c r="O104" i="12"/>
  <c r="P104" i="12"/>
  <c r="N104" i="12"/>
  <c r="M104" i="12"/>
  <c r="K104" i="12"/>
  <c r="H104" i="12"/>
  <c r="J104" i="12"/>
  <c r="O96" i="12"/>
  <c r="M96" i="12"/>
  <c r="P96" i="12"/>
  <c r="N96" i="12"/>
  <c r="H96" i="12"/>
  <c r="K96" i="12"/>
  <c r="I96" i="12"/>
  <c r="L96" i="12"/>
  <c r="G96" i="12"/>
  <c r="O88" i="12"/>
  <c r="M88" i="12"/>
  <c r="N88" i="12"/>
  <c r="L88" i="12"/>
  <c r="P88" i="12"/>
  <c r="H88" i="12"/>
  <c r="J88" i="12"/>
  <c r="I88" i="12"/>
  <c r="O80" i="12"/>
  <c r="M80" i="12"/>
  <c r="P80" i="12"/>
  <c r="K80" i="12"/>
  <c r="H80" i="12"/>
  <c r="O72" i="12"/>
  <c r="M72" i="12"/>
  <c r="P72" i="12"/>
  <c r="J72" i="12"/>
  <c r="L72" i="12"/>
  <c r="K72" i="12"/>
  <c r="H72" i="12"/>
  <c r="O64" i="12"/>
  <c r="M64" i="12"/>
  <c r="P64" i="12"/>
  <c r="L64" i="12"/>
  <c r="J64" i="12"/>
  <c r="N64" i="12"/>
  <c r="H64" i="12"/>
  <c r="I64" i="12"/>
  <c r="G64" i="12"/>
  <c r="O56" i="12"/>
  <c r="M56" i="12"/>
  <c r="P56" i="12"/>
  <c r="L56" i="12"/>
  <c r="J56" i="12"/>
  <c r="N56" i="12"/>
  <c r="H56" i="12"/>
  <c r="K56" i="12"/>
  <c r="I56" i="12"/>
  <c r="O48" i="12"/>
  <c r="M48" i="12"/>
  <c r="N48" i="12"/>
  <c r="P48" i="12"/>
  <c r="J48" i="12"/>
  <c r="K48" i="12"/>
  <c r="H48" i="12"/>
  <c r="L48" i="12"/>
  <c r="O40" i="12"/>
  <c r="M40" i="12"/>
  <c r="P40" i="12"/>
  <c r="J40" i="12"/>
  <c r="L40" i="12"/>
  <c r="K40" i="12"/>
  <c r="H40" i="12"/>
  <c r="N40" i="12"/>
  <c r="G40" i="12"/>
  <c r="O32" i="12"/>
  <c r="M32" i="12"/>
  <c r="N32" i="12"/>
  <c r="J32" i="12"/>
  <c r="P32" i="12"/>
  <c r="H32" i="12"/>
  <c r="K32" i="12"/>
  <c r="I32" i="12"/>
  <c r="G32" i="12"/>
  <c r="O24" i="12"/>
  <c r="M24" i="12"/>
  <c r="N24" i="12"/>
  <c r="P24" i="12"/>
  <c r="J24" i="12"/>
  <c r="L24" i="12"/>
  <c r="H24" i="12"/>
  <c r="I24" i="12"/>
  <c r="O16" i="12"/>
  <c r="M16" i="12"/>
  <c r="P16" i="12"/>
  <c r="N16" i="12"/>
  <c r="J16" i="12"/>
  <c r="K16" i="12"/>
  <c r="L16" i="12"/>
  <c r="H16" i="12"/>
  <c r="O8" i="12"/>
  <c r="M8" i="12"/>
  <c r="J8" i="12"/>
  <c r="K8" i="12"/>
  <c r="H8" i="12"/>
  <c r="G8" i="12"/>
  <c r="G196" i="12"/>
  <c r="G184" i="12"/>
  <c r="G168" i="12"/>
  <c r="G154" i="12"/>
  <c r="G124" i="12"/>
  <c r="G112" i="12"/>
  <c r="G98" i="12"/>
  <c r="G82" i="12"/>
  <c r="G56" i="12"/>
  <c r="G24" i="12"/>
  <c r="H186" i="12"/>
  <c r="H166" i="12"/>
  <c r="H148" i="12"/>
  <c r="H133" i="12"/>
  <c r="H114" i="12"/>
  <c r="H81" i="12"/>
  <c r="H61" i="12"/>
  <c r="H46" i="12"/>
  <c r="I190" i="12"/>
  <c r="I157" i="12"/>
  <c r="I112" i="12"/>
  <c r="I92" i="12"/>
  <c r="I70" i="12"/>
  <c r="I48" i="12"/>
  <c r="I6" i="12"/>
  <c r="J179" i="12"/>
  <c r="J153" i="12"/>
  <c r="J61" i="12"/>
  <c r="J25" i="12"/>
  <c r="K146" i="12"/>
  <c r="K109" i="12"/>
  <c r="K67" i="12"/>
  <c r="L176" i="12"/>
  <c r="L132" i="12"/>
  <c r="L80" i="12"/>
  <c r="L32" i="12"/>
  <c r="M179" i="12"/>
  <c r="M128" i="12"/>
  <c r="N145" i="12"/>
  <c r="O67" i="12"/>
  <c r="P182" i="12"/>
  <c r="O182" i="12"/>
  <c r="L182" i="12"/>
  <c r="G182" i="12"/>
  <c r="H182" i="12"/>
  <c r="N182" i="12"/>
  <c r="N150" i="12"/>
  <c r="M150" i="12"/>
  <c r="P150" i="12"/>
  <c r="O150" i="12"/>
  <c r="K150" i="12"/>
  <c r="L150" i="12"/>
  <c r="G150" i="12"/>
  <c r="I150" i="12"/>
  <c r="J150" i="12"/>
  <c r="H150" i="12"/>
  <c r="P126" i="12"/>
  <c r="N126" i="12"/>
  <c r="O126" i="12"/>
  <c r="M126" i="12"/>
  <c r="L126" i="12"/>
  <c r="G126" i="12"/>
  <c r="H126" i="12"/>
  <c r="P94" i="12"/>
  <c r="O94" i="12"/>
  <c r="N94" i="12"/>
  <c r="M94" i="12"/>
  <c r="K94" i="12"/>
  <c r="G94" i="12"/>
  <c r="L94" i="12"/>
  <c r="H94" i="12"/>
  <c r="P62" i="12"/>
  <c r="N62" i="12"/>
  <c r="O62" i="12"/>
  <c r="L62" i="12"/>
  <c r="K62" i="12"/>
  <c r="G62" i="12"/>
  <c r="H62" i="12"/>
  <c r="P30" i="12"/>
  <c r="M30" i="12"/>
  <c r="O30" i="12"/>
  <c r="K30" i="12"/>
  <c r="J30" i="12"/>
  <c r="N30" i="12"/>
  <c r="L30" i="12"/>
  <c r="G30" i="12"/>
  <c r="H30" i="12"/>
  <c r="O181" i="12"/>
  <c r="M181" i="12"/>
  <c r="P181" i="12"/>
  <c r="L181" i="12"/>
  <c r="G181" i="12"/>
  <c r="K181" i="12"/>
  <c r="J181" i="12"/>
  <c r="H181" i="12"/>
  <c r="N181" i="12"/>
  <c r="O149" i="12"/>
  <c r="M149" i="12"/>
  <c r="P149" i="12"/>
  <c r="L149" i="12"/>
  <c r="G149" i="12"/>
  <c r="J149" i="12"/>
  <c r="H149" i="12"/>
  <c r="N109" i="12"/>
  <c r="O109" i="12"/>
  <c r="L109" i="12"/>
  <c r="M109" i="12"/>
  <c r="G109" i="12"/>
  <c r="J109" i="12"/>
  <c r="I109" i="12"/>
  <c r="N77" i="12"/>
  <c r="O77" i="12"/>
  <c r="P77" i="12"/>
  <c r="L77" i="12"/>
  <c r="G77" i="12"/>
  <c r="J77" i="12"/>
  <c r="M77" i="12"/>
  <c r="K77" i="12"/>
  <c r="I77" i="12"/>
  <c r="N45" i="12"/>
  <c r="O45" i="12"/>
  <c r="P45" i="12"/>
  <c r="M45" i="12"/>
  <c r="G45" i="12"/>
  <c r="L45" i="12"/>
  <c r="I45" i="12"/>
  <c r="N13" i="12"/>
  <c r="O13" i="12"/>
  <c r="P13" i="12"/>
  <c r="L13" i="12"/>
  <c r="G13" i="12"/>
  <c r="J13" i="12"/>
  <c r="K13" i="12"/>
  <c r="I13" i="12"/>
  <c r="H109" i="12"/>
  <c r="H38" i="12"/>
  <c r="Q62" i="12"/>
  <c r="Q172" i="12"/>
  <c r="O172" i="12"/>
  <c r="P172" i="12"/>
  <c r="N172" i="12"/>
  <c r="L172" i="12"/>
  <c r="M172" i="12"/>
  <c r="J172" i="12"/>
  <c r="K172" i="12"/>
  <c r="H172" i="12"/>
  <c r="O140" i="12"/>
  <c r="N140" i="12"/>
  <c r="M140" i="12"/>
  <c r="L140" i="12"/>
  <c r="J140" i="12"/>
  <c r="P140" i="12"/>
  <c r="I140" i="12"/>
  <c r="H140" i="12"/>
  <c r="K140" i="12"/>
  <c r="O116" i="12"/>
  <c r="P116" i="12"/>
  <c r="M116" i="12"/>
  <c r="J116" i="12"/>
  <c r="K116" i="12"/>
  <c r="L116" i="12"/>
  <c r="H116" i="12"/>
  <c r="N116" i="12"/>
  <c r="G116" i="12"/>
  <c r="G188" i="12"/>
  <c r="H190" i="12"/>
  <c r="H142" i="12"/>
  <c r="I181" i="12"/>
  <c r="I124" i="12"/>
  <c r="J6" i="12"/>
  <c r="Q99" i="12"/>
  <c r="N99" i="12"/>
  <c r="P99" i="12"/>
  <c r="L99" i="12"/>
  <c r="J99" i="12"/>
  <c r="O99" i="12"/>
  <c r="K99" i="12"/>
  <c r="I99" i="12"/>
  <c r="Q27" i="12"/>
  <c r="P199" i="12"/>
  <c r="N199" i="12"/>
  <c r="O199" i="12"/>
  <c r="M199" i="12"/>
  <c r="K199" i="12"/>
  <c r="J199" i="12"/>
  <c r="P191" i="12"/>
  <c r="O191" i="12"/>
  <c r="N191" i="12"/>
  <c r="L191" i="12"/>
  <c r="K191" i="12"/>
  <c r="M191" i="12"/>
  <c r="H191" i="12"/>
  <c r="G191" i="12"/>
  <c r="P183" i="12"/>
  <c r="N183" i="12"/>
  <c r="O183" i="12"/>
  <c r="M183" i="12"/>
  <c r="L183" i="12"/>
  <c r="I183" i="12"/>
  <c r="H183" i="12"/>
  <c r="P175" i="12"/>
  <c r="O175" i="12"/>
  <c r="M175" i="12"/>
  <c r="N175" i="12"/>
  <c r="K175" i="12"/>
  <c r="J175" i="12"/>
  <c r="I175" i="12"/>
  <c r="P167" i="12"/>
  <c r="O167" i="12"/>
  <c r="N167" i="12"/>
  <c r="M167" i="12"/>
  <c r="L167" i="12"/>
  <c r="P159" i="12"/>
  <c r="O159" i="12"/>
  <c r="M159" i="12"/>
  <c r="N159" i="12"/>
  <c r="L159" i="12"/>
  <c r="K159" i="12"/>
  <c r="J159" i="12"/>
  <c r="H159" i="12"/>
  <c r="G159" i="12"/>
  <c r="P151" i="12"/>
  <c r="N151" i="12"/>
  <c r="M151" i="12"/>
  <c r="O151" i="12"/>
  <c r="K151" i="12"/>
  <c r="L151" i="12"/>
  <c r="I151" i="12"/>
  <c r="J151" i="12"/>
  <c r="H151" i="12"/>
  <c r="P143" i="12"/>
  <c r="O143" i="12"/>
  <c r="N143" i="12"/>
  <c r="K143" i="12"/>
  <c r="M143" i="12"/>
  <c r="L143" i="12"/>
  <c r="I143" i="12"/>
  <c r="P135" i="12"/>
  <c r="N135" i="12"/>
  <c r="M135" i="12"/>
  <c r="L135" i="12"/>
  <c r="K135" i="12"/>
  <c r="J135" i="12"/>
  <c r="P127" i="12"/>
  <c r="N127" i="12"/>
  <c r="O127" i="12"/>
  <c r="H127" i="12"/>
  <c r="I127" i="12"/>
  <c r="G127" i="12"/>
  <c r="P119" i="12"/>
  <c r="M119" i="12"/>
  <c r="N119" i="12"/>
  <c r="L119" i="12"/>
  <c r="O119" i="12"/>
  <c r="H119" i="12"/>
  <c r="J119" i="12"/>
  <c r="K119" i="12"/>
  <c r="I119" i="12"/>
  <c r="P111" i="12"/>
  <c r="O111" i="12"/>
  <c r="L111" i="12"/>
  <c r="H111" i="12"/>
  <c r="M111" i="12"/>
  <c r="N111" i="12"/>
  <c r="P103" i="12"/>
  <c r="O103" i="12"/>
  <c r="N103" i="12"/>
  <c r="M103" i="12"/>
  <c r="K103" i="12"/>
  <c r="H103" i="12"/>
  <c r="L103" i="12"/>
  <c r="J103" i="12"/>
  <c r="M95" i="12"/>
  <c r="P95" i="12"/>
  <c r="O95" i="12"/>
  <c r="N95" i="12"/>
  <c r="H95" i="12"/>
  <c r="K95" i="12"/>
  <c r="I95" i="12"/>
  <c r="L95" i="12"/>
  <c r="G95" i="12"/>
  <c r="M87" i="12"/>
  <c r="P87" i="12"/>
  <c r="N87" i="12"/>
  <c r="L87" i="12"/>
  <c r="H87" i="12"/>
  <c r="O87" i="12"/>
  <c r="J87" i="12"/>
  <c r="I87" i="12"/>
  <c r="M79" i="12"/>
  <c r="P79" i="12"/>
  <c r="O79" i="12"/>
  <c r="H79" i="12"/>
  <c r="K79" i="12"/>
  <c r="M71" i="12"/>
  <c r="P71" i="12"/>
  <c r="N71" i="12"/>
  <c r="K71" i="12"/>
  <c r="H71" i="12"/>
  <c r="J71" i="12"/>
  <c r="L71" i="12"/>
  <c r="M63" i="12"/>
  <c r="P63" i="12"/>
  <c r="N63" i="12"/>
  <c r="L63" i="12"/>
  <c r="H63" i="12"/>
  <c r="K63" i="12"/>
  <c r="I63" i="12"/>
  <c r="G63" i="12"/>
  <c r="M55" i="12"/>
  <c r="P55" i="12"/>
  <c r="L55" i="12"/>
  <c r="N55" i="12"/>
  <c r="J55" i="12"/>
  <c r="H55" i="12"/>
  <c r="O55" i="12"/>
  <c r="K55" i="12"/>
  <c r="I55" i="12"/>
  <c r="M47" i="12"/>
  <c r="P47" i="12"/>
  <c r="N47" i="12"/>
  <c r="L47" i="12"/>
  <c r="O47" i="12"/>
  <c r="J47" i="12"/>
  <c r="H47" i="12"/>
  <c r="M39" i="12"/>
  <c r="P39" i="12"/>
  <c r="O39" i="12"/>
  <c r="N39" i="12"/>
  <c r="L39" i="12"/>
  <c r="K39" i="12"/>
  <c r="J39" i="12"/>
  <c r="H39" i="12"/>
  <c r="M31" i="12"/>
  <c r="P31" i="12"/>
  <c r="N31" i="12"/>
  <c r="H31" i="12"/>
  <c r="K31" i="12"/>
  <c r="J31" i="12"/>
  <c r="O31" i="12"/>
  <c r="I31" i="12"/>
  <c r="G31" i="12"/>
  <c r="M23" i="12"/>
  <c r="P23" i="12"/>
  <c r="N23" i="12"/>
  <c r="O23" i="12"/>
  <c r="H23" i="12"/>
  <c r="I23" i="12"/>
  <c r="L23" i="12"/>
  <c r="M15" i="12"/>
  <c r="P15" i="12"/>
  <c r="O15" i="12"/>
  <c r="N15" i="12"/>
  <c r="L15" i="12"/>
  <c r="H15" i="12"/>
  <c r="J15" i="12"/>
  <c r="K15" i="12"/>
  <c r="M7" i="12"/>
  <c r="P7" i="12"/>
  <c r="O7" i="12"/>
  <c r="K7" i="12"/>
  <c r="H7" i="12"/>
  <c r="G195" i="12"/>
  <c r="G183" i="12"/>
  <c r="G167" i="12"/>
  <c r="G153" i="12"/>
  <c r="G139" i="12"/>
  <c r="G123" i="12"/>
  <c r="G111" i="12"/>
  <c r="G97" i="12"/>
  <c r="G81" i="12"/>
  <c r="G67" i="12"/>
  <c r="G55" i="12"/>
  <c r="G35" i="12"/>
  <c r="G23" i="12"/>
  <c r="H198" i="12"/>
  <c r="H180" i="12"/>
  <c r="H165" i="12"/>
  <c r="H147" i="12"/>
  <c r="H132" i="12"/>
  <c r="H113" i="12"/>
  <c r="H93" i="12"/>
  <c r="H78" i="12"/>
  <c r="H45" i="12"/>
  <c r="H27" i="12"/>
  <c r="H9" i="12"/>
  <c r="I189" i="12"/>
  <c r="I169" i="12"/>
  <c r="I156" i="12"/>
  <c r="I134" i="12"/>
  <c r="I111" i="12"/>
  <c r="I91" i="12"/>
  <c r="I69" i="12"/>
  <c r="I47" i="12"/>
  <c r="I27" i="12"/>
  <c r="J200" i="12"/>
  <c r="J177" i="12"/>
  <c r="J152" i="12"/>
  <c r="J126" i="12"/>
  <c r="J94" i="12"/>
  <c r="J23" i="12"/>
  <c r="K182" i="12"/>
  <c r="K145" i="12"/>
  <c r="K108" i="12"/>
  <c r="K64" i="12"/>
  <c r="K22" i="12"/>
  <c r="L175" i="12"/>
  <c r="L127" i="12"/>
  <c r="L79" i="12"/>
  <c r="L31" i="12"/>
  <c r="M176" i="12"/>
  <c r="M127" i="12"/>
  <c r="M59" i="12"/>
  <c r="N144" i="12"/>
  <c r="N6" i="12"/>
  <c r="O63" i="12"/>
  <c r="P108" i="12"/>
  <c r="O84" i="12"/>
  <c r="N84" i="12"/>
  <c r="L84" i="12"/>
  <c r="P84" i="12"/>
  <c r="K84" i="12"/>
  <c r="J84" i="12"/>
  <c r="O76" i="12"/>
  <c r="P76" i="12"/>
  <c r="N76" i="12"/>
  <c r="M76" i="12"/>
  <c r="L76" i="12"/>
  <c r="J76" i="12"/>
  <c r="O68" i="12"/>
  <c r="P68" i="12"/>
  <c r="M68" i="12"/>
  <c r="N68" i="12"/>
  <c r="J68" i="12"/>
  <c r="O60" i="12"/>
  <c r="K60" i="12"/>
  <c r="N60" i="12"/>
  <c r="O52" i="12"/>
  <c r="P52" i="12"/>
  <c r="M52" i="12"/>
  <c r="N52" i="12"/>
  <c r="L52" i="12"/>
  <c r="K52" i="12"/>
  <c r="O44" i="12"/>
  <c r="P44" i="12"/>
  <c r="M44" i="12"/>
  <c r="Q36" i="12"/>
  <c r="O36" i="12"/>
  <c r="N36" i="12"/>
  <c r="M36" i="12"/>
  <c r="L36" i="12"/>
  <c r="P36" i="12"/>
  <c r="O28" i="12"/>
  <c r="P28" i="12"/>
  <c r="M28" i="12"/>
  <c r="L28" i="12"/>
  <c r="K28" i="12"/>
  <c r="J28" i="12"/>
  <c r="N28" i="12"/>
  <c r="Q20" i="12"/>
  <c r="O20" i="12"/>
  <c r="P20" i="12"/>
  <c r="N20" i="12"/>
  <c r="M20" i="12"/>
  <c r="L20" i="12"/>
  <c r="J20" i="12"/>
  <c r="K20" i="12"/>
  <c r="Q12" i="12"/>
  <c r="O12" i="12"/>
  <c r="P12" i="12"/>
  <c r="N12" i="12"/>
  <c r="J12" i="12"/>
  <c r="G84" i="12"/>
  <c r="G52" i="12"/>
  <c r="G20" i="12"/>
  <c r="H76" i="12"/>
  <c r="H44" i="12"/>
  <c r="H12" i="12"/>
  <c r="I68" i="12"/>
  <c r="I36" i="12"/>
  <c r="J36" i="12"/>
  <c r="K36" i="12"/>
  <c r="M84" i="12"/>
  <c r="N44" i="12"/>
  <c r="P60" i="12"/>
  <c r="H84" i="12"/>
  <c r="H52" i="12"/>
  <c r="H20" i="12"/>
  <c r="I76" i="12"/>
  <c r="I44" i="12"/>
  <c r="I12" i="12"/>
  <c r="J52" i="12"/>
  <c r="L44" i="12"/>
  <c r="K76" i="12"/>
  <c r="K12" i="12"/>
  <c r="L68" i="12"/>
  <c r="H130" i="12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V131" i="1" l="1"/>
  <c r="W131" i="1"/>
  <c r="X131" i="1"/>
  <c r="Y131" i="1"/>
  <c r="Z131" i="1"/>
  <c r="V129" i="1"/>
  <c r="W129" i="1"/>
  <c r="X129" i="1"/>
  <c r="Y129" i="1"/>
  <c r="Z129" i="1"/>
  <c r="V128" i="1"/>
  <c r="W128" i="1"/>
  <c r="X128" i="1"/>
  <c r="Y128" i="1"/>
  <c r="Z128" i="1"/>
  <c r="V127" i="1"/>
  <c r="W127" i="1"/>
  <c r="X127" i="1"/>
  <c r="Y127" i="1"/>
  <c r="Z127" i="1"/>
  <c r="V126" i="1"/>
  <c r="W126" i="1"/>
  <c r="X126" i="1"/>
  <c r="Y126" i="1"/>
  <c r="Z126" i="1"/>
  <c r="V125" i="1"/>
  <c r="W125" i="1"/>
  <c r="X125" i="1"/>
  <c r="Y125" i="1"/>
  <c r="Z125" i="1"/>
  <c r="V124" i="1"/>
  <c r="W124" i="1"/>
  <c r="X124" i="1"/>
  <c r="Y124" i="1"/>
  <c r="Z124" i="1"/>
  <c r="V123" i="1"/>
  <c r="W123" i="1"/>
  <c r="X123" i="1"/>
  <c r="Y123" i="1"/>
  <c r="Z123" i="1"/>
  <c r="V122" i="1"/>
  <c r="W122" i="1"/>
  <c r="X122" i="1"/>
  <c r="Y122" i="1"/>
  <c r="Z122" i="1"/>
  <c r="V121" i="1"/>
  <c r="W121" i="1"/>
  <c r="X121" i="1"/>
  <c r="Y121" i="1"/>
  <c r="Z121" i="1"/>
  <c r="V120" i="1"/>
  <c r="W120" i="1"/>
  <c r="X120" i="1"/>
  <c r="Y120" i="1"/>
  <c r="Z120" i="1"/>
  <c r="V119" i="1"/>
  <c r="W119" i="1"/>
  <c r="X119" i="1"/>
  <c r="Y119" i="1"/>
  <c r="Z119" i="1"/>
  <c r="V118" i="1"/>
  <c r="C118" i="8" s="1"/>
  <c r="W118" i="1"/>
  <c r="X118" i="1"/>
  <c r="Y118" i="1"/>
  <c r="Z118" i="1"/>
  <c r="V117" i="1"/>
  <c r="W117" i="1"/>
  <c r="X117" i="1"/>
  <c r="Y117" i="1"/>
  <c r="Z117" i="1"/>
  <c r="T116" i="1"/>
  <c r="S116" i="1"/>
  <c r="V116" i="1"/>
  <c r="W116" i="1"/>
  <c r="Y116" i="1"/>
  <c r="V115" i="1"/>
  <c r="W115" i="1"/>
  <c r="X115" i="1"/>
  <c r="Y115" i="1"/>
  <c r="Z115" i="1"/>
  <c r="V114" i="1"/>
  <c r="C114" i="12" s="1"/>
  <c r="W114" i="1"/>
  <c r="X114" i="1"/>
  <c r="Y114" i="1"/>
  <c r="Z114" i="1"/>
  <c r="V113" i="1"/>
  <c r="W113" i="1"/>
  <c r="X113" i="1"/>
  <c r="Y113" i="1"/>
  <c r="Z113" i="1"/>
  <c r="V112" i="1"/>
  <c r="W112" i="1"/>
  <c r="X112" i="1"/>
  <c r="Y112" i="1"/>
  <c r="Z112" i="1"/>
  <c r="V111" i="1"/>
  <c r="C111" i="12" s="1"/>
  <c r="W111" i="1"/>
  <c r="X111" i="1"/>
  <c r="Y111" i="1"/>
  <c r="Z111" i="1"/>
  <c r="V110" i="1"/>
  <c r="C110" i="12" s="1"/>
  <c r="W110" i="1"/>
  <c r="X110" i="1"/>
  <c r="Y110" i="1"/>
  <c r="Z110" i="1"/>
  <c r="V109" i="1"/>
  <c r="C109" i="9" s="1"/>
  <c r="W109" i="1"/>
  <c r="X109" i="1"/>
  <c r="Y109" i="1"/>
  <c r="Z109" i="1"/>
  <c r="V108" i="1"/>
  <c r="W108" i="1"/>
  <c r="X108" i="1"/>
  <c r="Y108" i="1"/>
  <c r="Z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V107" i="1"/>
  <c r="C107" i="8" s="1"/>
  <c r="W107" i="1"/>
  <c r="X107" i="1"/>
  <c r="Y107" i="1"/>
  <c r="Z107" i="1"/>
  <c r="V106" i="1"/>
  <c r="C106" i="12" s="1"/>
  <c r="W106" i="1"/>
  <c r="X106" i="1"/>
  <c r="Y106" i="1"/>
  <c r="Z106" i="1"/>
  <c r="V105" i="1"/>
  <c r="C105" i="9" s="1"/>
  <c r="W105" i="1"/>
  <c r="X105" i="1"/>
  <c r="Y105" i="1"/>
  <c r="Z105" i="1"/>
  <c r="V104" i="1"/>
  <c r="C104" i="12" s="1"/>
  <c r="W104" i="1"/>
  <c r="X104" i="1"/>
  <c r="Y104" i="1"/>
  <c r="Z104" i="1"/>
  <c r="V103" i="1"/>
  <c r="W103" i="1"/>
  <c r="X103" i="1"/>
  <c r="Y103" i="1"/>
  <c r="Z103" i="1"/>
  <c r="V102" i="1"/>
  <c r="W102" i="1"/>
  <c r="X102" i="1"/>
  <c r="Y102" i="1"/>
  <c r="Z102" i="1"/>
  <c r="V101" i="1"/>
  <c r="W101" i="1"/>
  <c r="X101" i="1"/>
  <c r="Y101" i="1"/>
  <c r="Z101" i="1"/>
  <c r="R97" i="1"/>
  <c r="S97" i="1"/>
  <c r="S100" i="1"/>
  <c r="O100" i="1"/>
  <c r="V100" i="1"/>
  <c r="V99" i="1"/>
  <c r="C99" i="12" s="1"/>
  <c r="W99" i="1"/>
  <c r="X99" i="1"/>
  <c r="Y99" i="1"/>
  <c r="Z99" i="1"/>
  <c r="T98" i="1"/>
  <c r="S98" i="1"/>
  <c r="V98" i="1"/>
  <c r="C98" i="12" s="1"/>
  <c r="W98" i="1"/>
  <c r="Y98" i="1"/>
  <c r="V97" i="1"/>
  <c r="C97" i="12" s="1"/>
  <c r="W97" i="1"/>
  <c r="Y97" i="1"/>
  <c r="V96" i="1"/>
  <c r="W96" i="1"/>
  <c r="X96" i="1"/>
  <c r="Y96" i="1"/>
  <c r="Z96" i="1"/>
  <c r="V95" i="1"/>
  <c r="W95" i="1"/>
  <c r="X95" i="1"/>
  <c r="Y95" i="1"/>
  <c r="Z9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8" i="1"/>
  <c r="Z80" i="1"/>
  <c r="Z81" i="1"/>
  <c r="Z83" i="1"/>
  <c r="Z85" i="1"/>
  <c r="Z86" i="1"/>
  <c r="Z89" i="1"/>
  <c r="Z90" i="1"/>
  <c r="Z92" i="1"/>
  <c r="Z93" i="1"/>
  <c r="Z94" i="1"/>
  <c r="Y6" i="1"/>
  <c r="Y7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5" i="1"/>
  <c r="X76" i="1"/>
  <c r="X78" i="1"/>
  <c r="X80" i="1"/>
  <c r="X81" i="1"/>
  <c r="X83" i="1"/>
  <c r="X85" i="1"/>
  <c r="X86" i="1"/>
  <c r="X89" i="1"/>
  <c r="X90" i="1"/>
  <c r="X92" i="1"/>
  <c r="X93" i="1"/>
  <c r="X94" i="1"/>
  <c r="W6" i="1"/>
  <c r="W7" i="1"/>
  <c r="W8" i="1"/>
  <c r="W9" i="1"/>
  <c r="W10" i="1"/>
  <c r="W11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V94" i="1"/>
  <c r="C94" i="8" s="1"/>
  <c r="C130" i="8" l="1"/>
  <c r="C131" i="12"/>
  <c r="C119" i="9"/>
  <c r="C119" i="12"/>
  <c r="C108" i="8"/>
  <c r="C108" i="12"/>
  <c r="C121" i="8"/>
  <c r="C121" i="12"/>
  <c r="C126" i="9"/>
  <c r="C126" i="12"/>
  <c r="C115" i="9"/>
  <c r="C115" i="12"/>
  <c r="C123" i="8"/>
  <c r="C123" i="12"/>
  <c r="C127" i="8"/>
  <c r="C127" i="12"/>
  <c r="C113" i="9"/>
  <c r="C113" i="12"/>
  <c r="C100" i="8"/>
  <c r="C100" i="12"/>
  <c r="C112" i="8"/>
  <c r="C112" i="12"/>
  <c r="C120" i="9"/>
  <c r="C120" i="12"/>
  <c r="C128" i="9"/>
  <c r="C128" i="12"/>
  <c r="F97" i="9"/>
  <c r="E97" i="9"/>
  <c r="C103" i="9"/>
  <c r="C103" i="12"/>
  <c r="E116" i="9"/>
  <c r="F116" i="9"/>
  <c r="X98" i="1"/>
  <c r="F98" i="9"/>
  <c r="E98" i="9"/>
  <c r="N100" i="1"/>
  <c r="Y100" i="1" s="1"/>
  <c r="F100" i="8"/>
  <c r="E100" i="8"/>
  <c r="C101" i="8"/>
  <c r="C101" i="12"/>
  <c r="C117" i="9"/>
  <c r="C117" i="12"/>
  <c r="C125" i="9"/>
  <c r="C125" i="12"/>
  <c r="C124" i="8"/>
  <c r="C124" i="12"/>
  <c r="C129" i="8"/>
  <c r="C129" i="12"/>
  <c r="E100" i="9"/>
  <c r="F100" i="9"/>
  <c r="C116" i="8"/>
  <c r="C116" i="12"/>
  <c r="C122" i="9"/>
  <c r="C122" i="12"/>
  <c r="C130" i="9"/>
  <c r="C119" i="8"/>
  <c r="X116" i="1"/>
  <c r="Z98" i="1"/>
  <c r="Z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X97" i="1"/>
  <c r="Z97" i="1"/>
  <c r="R100" i="1"/>
  <c r="X100" i="1" s="1"/>
  <c r="W100" i="1"/>
  <c r="V93" i="1"/>
  <c r="C93" i="12" s="1"/>
  <c r="V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V6" i="1"/>
  <c r="C6" i="12" s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F17" i="8" s="1"/>
  <c r="T91" i="1"/>
  <c r="S91" i="1"/>
  <c r="V91" i="1"/>
  <c r="V90" i="1"/>
  <c r="V89" i="1"/>
  <c r="V88" i="1"/>
  <c r="S87" i="1"/>
  <c r="V87" i="1"/>
  <c r="C87" i="12" s="1"/>
  <c r="V86" i="1"/>
  <c r="C86" i="12" s="1"/>
  <c r="V85" i="1"/>
  <c r="C85" i="12" s="1"/>
  <c r="V84" i="1"/>
  <c r="C84" i="12" s="1"/>
  <c r="V83" i="1"/>
  <c r="C83" i="12" s="1"/>
  <c r="V82" i="1"/>
  <c r="C82" i="12" s="1"/>
  <c r="V81" i="1"/>
  <c r="V80" i="1"/>
  <c r="C80" i="12" s="1"/>
  <c r="V7" i="1"/>
  <c r="V8" i="1"/>
  <c r="C8" i="12" s="1"/>
  <c r="V9" i="1"/>
  <c r="V10" i="1"/>
  <c r="C10" i="12" s="1"/>
  <c r="V11" i="1"/>
  <c r="V12" i="1"/>
  <c r="C12" i="12" s="1"/>
  <c r="V13" i="1"/>
  <c r="V14" i="1"/>
  <c r="V15" i="1"/>
  <c r="V16" i="1"/>
  <c r="C16" i="12" s="1"/>
  <c r="V17" i="1"/>
  <c r="C17" i="12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C35" i="12" s="1"/>
  <c r="V36" i="1"/>
  <c r="V37" i="1"/>
  <c r="V38" i="1"/>
  <c r="V39" i="1"/>
  <c r="V40" i="1"/>
  <c r="V41" i="1"/>
  <c r="C41" i="12" s="1"/>
  <c r="V42" i="1"/>
  <c r="V43" i="1"/>
  <c r="V44" i="1"/>
  <c r="C44" i="12" s="1"/>
  <c r="V45" i="1"/>
  <c r="V46" i="1"/>
  <c r="C46" i="12" s="1"/>
  <c r="V47" i="1"/>
  <c r="V48" i="1"/>
  <c r="C48" i="12" s="1"/>
  <c r="V49" i="1"/>
  <c r="C49" i="12" s="1"/>
  <c r="V50" i="1"/>
  <c r="V51" i="1"/>
  <c r="V52" i="1"/>
  <c r="C52" i="12" s="1"/>
  <c r="V53" i="1"/>
  <c r="V54" i="1"/>
  <c r="V55" i="1"/>
  <c r="V56" i="1"/>
  <c r="C56" i="12" s="1"/>
  <c r="V57" i="1"/>
  <c r="V58" i="1"/>
  <c r="V59" i="1"/>
  <c r="V60" i="1"/>
  <c r="V61" i="1"/>
  <c r="C61" i="12" s="1"/>
  <c r="V62" i="1"/>
  <c r="V63" i="1"/>
  <c r="V64" i="1"/>
  <c r="V65" i="1"/>
  <c r="V66" i="1"/>
  <c r="C66" i="12" s="1"/>
  <c r="V67" i="1"/>
  <c r="V68" i="1"/>
  <c r="V69" i="1"/>
  <c r="C69" i="12" s="1"/>
  <c r="V70" i="1"/>
  <c r="V71" i="1"/>
  <c r="V72" i="1"/>
  <c r="V73" i="1"/>
  <c r="V74" i="1"/>
  <c r="C74" i="12" s="1"/>
  <c r="V75" i="1"/>
  <c r="V76" i="1"/>
  <c r="C76" i="12" s="1"/>
  <c r="V77" i="1"/>
  <c r="C77" i="12" s="1"/>
  <c r="V78" i="1"/>
  <c r="C78" i="12" s="1"/>
  <c r="V79" i="1"/>
  <c r="C79" i="12" s="1"/>
  <c r="T79" i="1"/>
  <c r="S79" i="1"/>
  <c r="E88" i="9" l="1"/>
  <c r="F88" i="9"/>
  <c r="F74" i="9"/>
  <c r="E74" i="9"/>
  <c r="M74" i="9" s="1"/>
  <c r="F82" i="9"/>
  <c r="E82" i="9"/>
  <c r="R82" i="9" s="1"/>
  <c r="E79" i="9"/>
  <c r="F79" i="9"/>
  <c r="E91" i="9"/>
  <c r="F91" i="9"/>
  <c r="E87" i="9"/>
  <c r="S87" i="9" s="1"/>
  <c r="F87" i="9"/>
  <c r="F84" i="9"/>
  <c r="E84" i="9"/>
  <c r="Q84" i="9" s="1"/>
  <c r="V90" i="9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66" i="9"/>
  <c r="R58" i="9"/>
  <c r="R50" i="9"/>
  <c r="R42" i="9"/>
  <c r="R34" i="9"/>
  <c r="R26" i="9"/>
  <c r="R18" i="9"/>
  <c r="R10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Z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O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Z79" i="1"/>
  <c r="X79" i="1"/>
  <c r="Z91" i="1"/>
  <c r="X91" i="1"/>
  <c r="Z84" i="1"/>
  <c r="X84" i="1"/>
  <c r="X88" i="1"/>
  <c r="Z88" i="1"/>
  <c r="Z82" i="1"/>
  <c r="X82" i="1"/>
  <c r="Y17" i="1"/>
  <c r="W17" i="1"/>
  <c r="Z87" i="1"/>
  <c r="X87" i="1"/>
  <c r="Z74" i="1"/>
  <c r="X74" i="1"/>
  <c r="T77" i="1"/>
  <c r="S77" i="1"/>
  <c r="U19" i="1"/>
  <c r="L87" i="9" l="1"/>
  <c r="J74" i="9"/>
  <c r="O74" i="9"/>
  <c r="R74" i="9"/>
  <c r="N87" i="9"/>
  <c r="K74" i="9"/>
  <c r="N74" i="9"/>
  <c r="G87" i="9"/>
  <c r="H87" i="9"/>
  <c r="K87" i="9"/>
  <c r="I87" i="9"/>
  <c r="L74" i="9"/>
  <c r="S74" i="9"/>
  <c r="T74" i="9"/>
  <c r="P87" i="9"/>
  <c r="Q74" i="9"/>
  <c r="U74" i="9"/>
  <c r="T84" i="9"/>
  <c r="P84" i="9"/>
  <c r="P74" i="9"/>
  <c r="G74" i="9"/>
  <c r="Q87" i="9"/>
  <c r="V74" i="9"/>
  <c r="I82" i="9"/>
  <c r="H82" i="9"/>
  <c r="S82" i="9"/>
  <c r="H84" i="9"/>
  <c r="J87" i="9"/>
  <c r="K84" i="9"/>
  <c r="I74" i="9"/>
  <c r="U87" i="9"/>
  <c r="O82" i="9"/>
  <c r="G84" i="9"/>
  <c r="M87" i="9"/>
  <c r="O84" i="9"/>
  <c r="R87" i="9"/>
  <c r="U84" i="9"/>
  <c r="M84" i="9"/>
  <c r="J82" i="9"/>
  <c r="Q82" i="9"/>
  <c r="R84" i="9"/>
  <c r="S84" i="9"/>
  <c r="U82" i="9"/>
  <c r="T82" i="9"/>
  <c r="J84" i="9"/>
  <c r="N82" i="9"/>
  <c r="V84" i="9"/>
  <c r="V82" i="9"/>
  <c r="L84" i="9"/>
  <c r="M82" i="9"/>
  <c r="P82" i="9"/>
  <c r="E77" i="9"/>
  <c r="F77" i="9"/>
  <c r="N84" i="9"/>
  <c r="L82" i="9"/>
  <c r="G82" i="9"/>
  <c r="I84" i="9"/>
  <c r="K82" i="9"/>
  <c r="T79" i="9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X77" i="1"/>
  <c r="Z77" i="1"/>
  <c r="Z19" i="1"/>
  <c r="X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<sst xmlns="http://schemas.openxmlformats.org/spreadsheetml/2006/main" count="1059" uniqueCount="362">
  <si>
    <t>CPU</t>
  </si>
  <si>
    <t>User</t>
  </si>
  <si>
    <t>CrazyIvan</t>
  </si>
  <si>
    <t>Lyka</t>
  </si>
  <si>
    <t>Naitsabes</t>
  </si>
  <si>
    <t>GraphLabel</t>
  </si>
  <si>
    <t>Zeilenbeschriftungen</t>
  </si>
  <si>
    <t>Gesamtergebnis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</si>
  <si>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</si>
  <si>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</si>
  <si>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</si>
  <si>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</si>
  <si>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</si>
  <si>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</si>
  <si>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</si>
  <si>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</si>
  <si>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</si>
  <si>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</si>
  <si>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</si>
  <si>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</si>
  <si>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</si>
  <si>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</si>
  <si>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</si>
  <si>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</si>
  <si>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</si>
  <si>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</si>
  <si>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</si>
  <si>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</si>
  <si>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</si>
  <si>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</si>
  <si>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</si>
  <si>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</si>
  <si>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</si>
  <si>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</si>
  <si>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</si>
  <si>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</si>
  <si>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</si>
  <si>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</si>
  <si>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</si>
  <si>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</si>
  <si>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</si>
  <si>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</si>
  <si>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</si>
  <si>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</si>
  <si>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</si>
  <si>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</si>
  <si>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</si>
  <si>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</si>
  <si>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</si>
  <si>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</si>
  <si>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</si>
  <si>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</si>
  <si>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</si>
  <si>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</si>
  <si>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</si>
  <si>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</si>
  <si>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</si>
  <si>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</si>
  <si>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</si>
  <si>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</si>
  <si>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</si>
  <si>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</si>
  <si>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</si>
  <si>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</si>
  <si>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</si>
  <si>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</si>
  <si>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</si>
  <si>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</si>
  <si>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</si>
  <si>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</si>
  <si>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</si>
  <si>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</si>
  <si>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</si>
  <si>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</si>
  <si>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</si>
  <si>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</si>
  <si>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</si>
  <si>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</si>
  <si>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</si>
  <si>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</si>
  <si>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</si>
  <si>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</si>
  <si>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</si>
  <si>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</si>
  <si>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</si>
  <si>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</si>
  <si>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</si>
  <si>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</si>
  <si>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</si>
  <si>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</si>
  <si>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</si>
  <si>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</si>
  <si>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</si>
  <si>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</si>
  <si>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</si>
  <si>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</si>
  <si>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</si>
  <si>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</si>
  <si>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</si>
  <si>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</si>
  <si>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</si>
  <si>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</si>
  <si>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</si>
  <si>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</si>
  <si>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</si>
  <si>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</si>
  <si>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</si>
  <si>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</si>
  <si>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</si>
  <si>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</si>
  <si>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</si>
  <si>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</si>
  <si>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</si>
  <si>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</si>
  <si>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</si>
  <si>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</si>
  <si>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</si>
  <si>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</si>
  <si>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</si>
  <si>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</si>
  <si>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</si>
  <si>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</si>
  <si>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</si>
  <si>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</si>
  <si>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</si>
  <si>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</si>
  <si>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</si>
  <si>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</si>
  <si>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</si>
  <si>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</si>
  <si>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</si>
  <si>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</si>
  <si>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</si>
  <si>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</si>
  <si>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</si>
  <si>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</si>
  <si>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</si>
  <si>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</si>
  <si>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</si>
  <si>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</si>
  <si>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</si>
  <si>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</si>
  <si>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</si>
  <si>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</si>
  <si>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</si>
  <si>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</si>
  <si>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</si>
  <si>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</si>
  <si>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</si>
  <si>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</si>
  <si>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</si>
  <si>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</si>
  <si>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</si>
  <si>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</si>
  <si>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</si>
  <si>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</si>
  <si>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</si>
  <si>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</si>
  <si>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</si>
  <si>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</si>
  <si>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</si>
  <si>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</si>
  <si>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</si>
  <si>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</si>
  <si>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</si>
  <si>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</si>
  <si>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</si>
  <si>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</si>
  <si>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</si>
  <si>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</si>
  <si>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</si>
  <si>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</si>
  <si>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</si>
  <si>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</si>
  <si>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</si>
  <si>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</si>
  <si>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</si>
  <si>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</si>
  <si>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</si>
  <si>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</si>
  <si>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</si>
  <si>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</si>
  <si>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</si>
  <si>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</si>
  <si>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</si>
  <si>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</si>
  <si>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</si>
  <si>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</si>
  <si>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</si>
  <si>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</si>
  <si>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</si>
  <si>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</si>
  <si>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</si>
  <si>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</si>
  <si>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</si>
  <si>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</si>
  <si>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</si>
  <si>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</si>
  <si>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</si>
  <si>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</si>
  <si>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</si>
  <si>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</si>
  <si>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</si>
  <si>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</si>
  <si>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</si>
  <si>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</si>
  <si>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</si>
  <si>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</si>
  <si>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</si>
  <si>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</si>
  <si>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</si>
  <si>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</si>
  <si>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</si>
  <si>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</si>
  <si>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</si>
  <si>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</si>
  <si>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</si>
  <si>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</si>
  <si>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</si>
  <si>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</si>
  <si>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</si>
  <si>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</si>
  <si>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</si>
  <si>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</si>
  <si>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</si>
  <si>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</si>
  <si>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</si>
  <si>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</si>
  <si>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</si>
  <si>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</si>
  <si>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</si>
  <si>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</si>
  <si>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</si>
  <si>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</si>
  <si>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</si>
  <si>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</si>
  <si>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</si>
  <si>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</si>
  <si>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</si>
  <si>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</si>
  <si>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</si>
  <si>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</si>
  <si>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</si>
  <si>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</si>
  <si>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</si>
  <si>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</si>
  <si>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</si>
  <si>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</si>
  <si>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</si>
  <si>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</si>
  <si>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</si>
  <si>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</si>
  <si>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</si>
  <si>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</si>
  <si>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</si>
  <si>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</si>
  <si>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</si>
  <si>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</si>
  <si>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</si>
  <si>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</si>
  <si>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</si>
  <si>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</si>
  <si>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</si>
  <si>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</si>
  <si>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</si>
  <si>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</si>
  <si>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</si>
  <si>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</si>
  <si>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</si>
  <si>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</si>
  <si>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i5 12500H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</si>
  <si>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</si>
  <si>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</si>
  <si>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</si>
  <si>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</si>
  <si>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</si>
  <si>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</si>
  <si>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</si>
  <si>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</si>
  <si>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</si>
  <si>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</si>
  <si>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</si>
  <si>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</si>
  <si>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</si>
  <si>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</si>
  <si>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</si>
  <si>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</si>
  <si>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</si>
  <si>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</si>
  <si>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</si>
  <si>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</si>
  <si>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</si>
  <si>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</si>
  <si>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</si>
  <si>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</si>
  <si>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</si>
  <si>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</si>
  <si>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</si>
  <si>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Apple M1 Estimate v0.7.3 [94]</t>
  </si>
  <si>
    <t>i7 11800H (TigerLake-8C) v0.7.2 [95]</t>
  </si>
  <si>
    <t>R5 5600G (CZN) v0.7.3 [96]</t>
  </si>
  <si>
    <t>Apple M1 Max Estimate v0.7.3 [97]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</si>
  <si>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</si>
  <si>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</si>
  <si>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</si>
  <si>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</si>
  <si>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</si>
  <si>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</si>
  <si>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</si>
  <si>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</si>
  <si>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</si>
  <si>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</si>
  <si>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</si>
  <si>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R7 6800U (RMB) @12w v0.7.5 [113]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</si>
  <si>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</si>
  <si>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</si>
  <si>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</si>
  <si>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</si>
  <si>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</si>
  <si>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</si>
  <si>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i9 13900K (RTL) @65w v0.7.5 [121]</t>
  </si>
  <si>
    <t>R7 6800U (RMB) @25w v0.7.5 [122]</t>
  </si>
  <si>
    <t>R7 5700X (Vermeer) v0.7.5 [123]</t>
  </si>
  <si>
    <t>i5 12500H @AC v0.7.5 [124]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</si>
  <si>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</si>
  <si>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</si>
  <si>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</si>
  <si>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</si>
  <si>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</si>
  <si>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</si>
  <si>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</si>
  <si>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</si>
  <si>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</si>
  <si>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</si>
  <si>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</si>
  <si>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R7 4700U (RNR) @Batt. [128]</t>
  </si>
  <si>
    <t>(Mehrere Elemente)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</si>
  <si>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</si>
  <si>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</si>
  <si>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</si>
  <si>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</si>
  <si>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</si>
  <si>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</si>
  <si>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</si>
  <si>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</si>
  <si>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</si>
  <si>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</si>
  <si>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</si>
  <si>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</si>
  <si>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</si>
  <si>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</si>
  <si>
    <t>i5-1235U (ADL)</t>
  </si>
  <si>
    <t>igor_kavinski</t>
  </si>
  <si>
    <t>PPT 50w</t>
  </si>
  <si>
    <t>PPT 65w</t>
  </si>
  <si>
    <t>PPT 105w</t>
  </si>
  <si>
    <t>@50w</t>
  </si>
  <si>
    <t>@105w</t>
  </si>
  <si>
    <t>PPT 160w</t>
  </si>
  <si>
    <t>PPT 260w</t>
  </si>
  <si>
    <t>@260w</t>
  </si>
  <si>
    <t>i5-12500 (ADL)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</si>
</sst>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0" fontId="0" fillId="5" borderId="3" xfId="0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43" fontId="1" fillId="0" borderId="1" xfId="2" applyFont="1" applyFill="1" applyBorder="1"/>
    <xf numFmtId="43" fontId="1" fillId="0" borderId="1" xfId="2" applyFont="1" applyFill="1" applyBorder="1" applyAlignment="1">
      <alignment wrapText="1"/>
    </xf>
    <xf numFmtId="43" fontId="1" fillId="0" borderId="2" xfId="2" applyFont="1" applyFill="1" applyBorder="1" applyAlignment="1">
      <alignment wrapText="1"/>
    </xf>
    <xf numFmtId="43" fontId="0" fillId="0" borderId="2" xfId="2" applyFont="1" applyFill="1" applyBorder="1" applyAlignment="1">
      <alignment wrapText="1"/>
    </xf>
    <xf numFmtId="166" fontId="0" fillId="0" borderId="7" xfId="2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5" borderId="3" xfId="0" applyNumberFormat="1" applyFill="1" applyBorder="1"/>
    <xf numFmtId="0" fontId="0" fillId="0" borderId="0" xfId="0" applyFill="1" applyBorder="1"/>
    <xf numFmtId="0" fontId="0" fillId="5" borderId="0" xfId="0" applyNumberFormat="1" applyFill="1" applyBorder="1"/>
  </cellXfs>
  <cellStyles count="3">
    <cellStyle name="Eingabe" xfId="1" builtinId="20"/>
    <cellStyle name="Komma" xfId="2" builtinId="3"/>
    <cellStyle name="Standard" xfId="0" builtinId="0"/>
  </cellStyles>
  <dxfs count="85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GB5'!$B$5:$B$6</c:f>
              <c:strCache>
                <c:ptCount val="1"/>
                <c:pt idx="0">
                  <c:v>R7 4700U (RNR) @Batt. [128]</c:v>
                </c:pt>
              </c:strCache>
            </c:strRef>
          </c:cat>
          <c:val>
            <c:numRef>
              <c:f>'PES GB5'!$C$5:$C$6</c:f>
              <c:numCache>
                <c:formatCode>General</c:formatCode>
                <c:ptCount val="1"/>
                <c:pt idx="0">
                  <c:v>4591.3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GB5'!$B$5:$B$6</c:f>
              <c:strCache>
                <c:ptCount val="1"/>
                <c:pt idx="0">
                  <c:v>R7 4700U (RNR) @Batt. [128]</c:v>
                </c:pt>
              </c:strCache>
            </c:strRef>
          </c:cat>
          <c:val>
            <c:numRef>
              <c:f>'Consumption GB5'!$C$5:$C$6</c:f>
              <c:numCache>
                <c:formatCode>General</c:formatCode>
                <c:ptCount val="1"/>
                <c:pt idx="0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81BD36B4-3BEB-4985-8FE2-BA34C2D04E8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08C985F-60C4-4BB4-A965-54430EE62D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16299F0B-B412-4A35-BA2B-1C420F5359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06EB8E70-DE10-43F8-ADE0-155C7E9CD2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24ABC09B-BB97-4DD5-A6C6-C004C24942D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C27475E8-1C11-4855-9419-5298D09F7B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611810B4-E316-4A7D-A57E-108D29667E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139.15</c:v>
                </c:pt>
                <c:pt idx="126">
                  <c:v>#N/A</c:v>
                </c:pt>
                <c:pt idx="127">
                  <c:v>170.95</c:v>
                </c:pt>
                <c:pt idx="128">
                  <c:v>120.88</c:v>
                </c:pt>
                <c:pt idx="129">
                  <c:v>115.24</c:v>
                </c:pt>
                <c:pt idx="130">
                  <c:v>114.75</c:v>
                </c:pt>
                <c:pt idx="131">
                  <c:v>114.08</c:v>
                </c:pt>
                <c:pt idx="132">
                  <c:v>#N/A</c:v>
                </c:pt>
                <c:pt idx="133">
                  <c:v>126.32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277.62354247640201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234.4116268166901</c:v>
                </c:pt>
                <c:pt idx="126">
                  <c:v>#N/A</c:v>
                </c:pt>
                <c:pt idx="127">
                  <c:v>58.754406580493537</c:v>
                </c:pt>
                <c:pt idx="128">
                  <c:v>60.503388189738622</c:v>
                </c:pt>
                <c:pt idx="129">
                  <c:v>52.476910159529808</c:v>
                </c:pt>
                <c:pt idx="130">
                  <c:v>50.015004501350404</c:v>
                </c:pt>
                <c:pt idx="131">
                  <c:v>44.976162633804087</c:v>
                </c:pt>
                <c:pt idx="132">
                  <c:v>#N/A</c:v>
                </c:pt>
                <c:pt idx="133">
                  <c:v>138.811771238201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156.27441787779338</c:v>
                </c:pt>
                <c:pt idx="126">
                  <c:v>#N/A</c:v>
                </c:pt>
                <c:pt idx="127">
                  <c:v>39.169604386995687</c:v>
                </c:pt>
                <c:pt idx="128">
                  <c:v>40.335592126492415</c:v>
                </c:pt>
                <c:pt idx="129">
                  <c:v>34.98460677301987</c:v>
                </c:pt>
                <c:pt idx="130">
                  <c:v>33.343336334233598</c:v>
                </c:pt>
                <c:pt idx="131">
                  <c:v>29.984108422536053</c:v>
                </c:pt>
                <c:pt idx="132">
                  <c:v>#N/A</c:v>
                </c:pt>
                <c:pt idx="133">
                  <c:v>92.541180825467322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117.20581340834505</c:v>
                </c:pt>
                <c:pt idx="126">
                  <c:v>#N/A</c:v>
                </c:pt>
                <c:pt idx="127">
                  <c:v>29.377203290246769</c:v>
                </c:pt>
                <c:pt idx="128">
                  <c:v>30.251694094869311</c:v>
                </c:pt>
                <c:pt idx="129">
                  <c:v>26.238455079764904</c:v>
                </c:pt>
                <c:pt idx="130">
                  <c:v>25.007502250675202</c:v>
                </c:pt>
                <c:pt idx="131">
                  <c:v>22.488081316902043</c:v>
                </c:pt>
                <c:pt idx="132">
                  <c:v>#N/A</c:v>
                </c:pt>
                <c:pt idx="133">
                  <c:v>69.405885619100502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93.764650726676038</c:v>
                </c:pt>
                <c:pt idx="126">
                  <c:v>#N/A</c:v>
                </c:pt>
                <c:pt idx="127">
                  <c:v>23.501762632197416</c:v>
                </c:pt>
                <c:pt idx="128">
                  <c:v>24.201355275895452</c:v>
                </c:pt>
                <c:pt idx="129">
                  <c:v>20.990764063811923</c:v>
                </c:pt>
                <c:pt idx="130">
                  <c:v>20.006001800540162</c:v>
                </c:pt>
                <c:pt idx="131">
                  <c:v>17.990465053521632</c:v>
                </c:pt>
                <c:pt idx="132">
                  <c:v>#N/A</c:v>
                </c:pt>
                <c:pt idx="133">
                  <c:v>55.5247084952804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78.137208938896691</c:v>
                </c:pt>
                <c:pt idx="126">
                  <c:v>#N/A</c:v>
                </c:pt>
                <c:pt idx="127">
                  <c:v>19.584802193497843</c:v>
                </c:pt>
                <c:pt idx="128">
                  <c:v>20.167796063246207</c:v>
                </c:pt>
                <c:pt idx="129">
                  <c:v>17.492303386509935</c:v>
                </c:pt>
                <c:pt idx="130">
                  <c:v>16.671668167116799</c:v>
                </c:pt>
                <c:pt idx="131">
                  <c:v>14.992054211268027</c:v>
                </c:pt>
                <c:pt idx="132">
                  <c:v>#N/A</c:v>
                </c:pt>
                <c:pt idx="133">
                  <c:v>46.270590412733661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66.974750519054325</c:v>
                </c:pt>
                <c:pt idx="126">
                  <c:v>#N/A</c:v>
                </c:pt>
                <c:pt idx="127">
                  <c:v>16.78697330871244</c:v>
                </c:pt>
                <c:pt idx="128">
                  <c:v>17.286682339925324</c:v>
                </c:pt>
                <c:pt idx="129">
                  <c:v>14.993402902722803</c:v>
                </c:pt>
                <c:pt idx="130">
                  <c:v>14.290001286100116</c:v>
                </c:pt>
                <c:pt idx="131">
                  <c:v>12.850332181086882</c:v>
                </c:pt>
                <c:pt idx="132">
                  <c:v>#N/A</c:v>
                </c:pt>
                <c:pt idx="133">
                  <c:v>39.66050606805743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58.602906704172526</c:v>
                </c:pt>
                <c:pt idx="126">
                  <c:v>#N/A</c:v>
                </c:pt>
                <c:pt idx="127">
                  <c:v>14.688601645123384</c:v>
                </c:pt>
                <c:pt idx="128">
                  <c:v>15.125847047434656</c:v>
                </c:pt>
                <c:pt idx="129">
                  <c:v>13.119227539882452</c:v>
                </c:pt>
                <c:pt idx="130">
                  <c:v>12.503751125337601</c:v>
                </c:pt>
                <c:pt idx="131">
                  <c:v>11.244040658451022</c:v>
                </c:pt>
                <c:pt idx="132">
                  <c:v>#N/A</c:v>
                </c:pt>
                <c:pt idx="133">
                  <c:v>34.702942809550251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52.091472625931132</c:v>
                </c:pt>
                <c:pt idx="126">
                  <c:v>#N/A</c:v>
                </c:pt>
                <c:pt idx="127">
                  <c:v>13.056534795665231</c:v>
                </c:pt>
                <c:pt idx="128">
                  <c:v>13.445197375497472</c:v>
                </c:pt>
                <c:pt idx="129">
                  <c:v>11.661535591006624</c:v>
                </c:pt>
                <c:pt idx="130">
                  <c:v>11.114445444744534</c:v>
                </c:pt>
                <c:pt idx="131">
                  <c:v>9.9947028075120183</c:v>
                </c:pt>
                <c:pt idx="132">
                  <c:v>#N/A</c:v>
                </c:pt>
                <c:pt idx="133">
                  <c:v>30.847060275155776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46.882325363338019</c:v>
                </c:pt>
                <c:pt idx="126">
                  <c:v>#N/A</c:v>
                </c:pt>
                <c:pt idx="127">
                  <c:v>11.750881316098708</c:v>
                </c:pt>
                <c:pt idx="128">
                  <c:v>12.100677637947726</c:v>
                </c:pt>
                <c:pt idx="129">
                  <c:v>10.495382031905962</c:v>
                </c:pt>
                <c:pt idx="130">
                  <c:v>10.003000900270081</c:v>
                </c:pt>
                <c:pt idx="131">
                  <c:v>8.995232526760816</c:v>
                </c:pt>
                <c:pt idx="132">
                  <c:v>#N/A</c:v>
                </c:pt>
                <c:pt idx="133">
                  <c:v>27.7623542476402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277.62354247640201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3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CB23ST'!$B$5:$B$63</c:f>
              <c:strCache>
                <c:ptCount val="58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v0.7.2 [80]</c:v>
                </c:pt>
                <c:pt idx="6">
                  <c:v>R9 5900X (Vermeer) v0.7.2 [90]</c:v>
                </c:pt>
                <c:pt idx="7">
                  <c:v>R9 5950X (Vermeer) v0.5.1 [43]</c:v>
                </c:pt>
                <c:pt idx="8">
                  <c:v>R7 5800X (Vermeer) v0.7.0 [66]</c:v>
                </c:pt>
                <c:pt idx="9">
                  <c:v>R5 3500U (Picasso) v0.7.0 [73]</c:v>
                </c:pt>
                <c:pt idx="10">
                  <c:v>i5 11500 (RKL) v0.7.2 [83]</c:v>
                </c:pt>
                <c:pt idx="11">
                  <c:v>i7 7500U (KBL) v0.5.1 [36]</c:v>
                </c:pt>
                <c:pt idx="12">
                  <c:v>i7 11700K (RKL) v0.7.2 [84]</c:v>
                </c:pt>
                <c:pt idx="13">
                  <c:v>i5 8365U (WKL) v0.3.1 [11]</c:v>
                </c:pt>
                <c:pt idx="14">
                  <c:v>R5 5600X (Vermeer) v0.7.0 [76]</c:v>
                </c:pt>
                <c:pt idx="15">
                  <c:v>P Silver N6000 (JasperLake) v0.7.2 [79]</c:v>
                </c:pt>
                <c:pt idx="16">
                  <c:v>R7 3700X (Matisse) v0.6.0 [47]</c:v>
                </c:pt>
                <c:pt idx="17">
                  <c:v>R7 5700X (Vermeer) v0.7.5 [123]</c:v>
                </c:pt>
                <c:pt idx="18">
                  <c:v>i5 8250U (WKL) v0.6.0 [51]</c:v>
                </c:pt>
                <c:pt idx="19">
                  <c:v>i7 9750H (CFL) v0.7.0 [71]</c:v>
                </c:pt>
                <c:pt idx="20">
                  <c:v>i3 6157U (Skylake) v0.6.0 [63]</c:v>
                </c:pt>
                <c:pt idx="21">
                  <c:v>R9 7950X (RPL) v0.7.5 [111]</c:v>
                </c:pt>
                <c:pt idx="22">
                  <c:v>R9 7950X (RPL) @88w v0.7.5 [112]</c:v>
                </c:pt>
                <c:pt idx="23">
                  <c:v>R9 7900X (RPL) v0.7.5 [110]</c:v>
                </c:pt>
                <c:pt idx="24">
                  <c:v>R5 2500U (Raven Ridge) v0.7.0 [75]</c:v>
                </c:pt>
                <c:pt idx="25">
                  <c:v>i7 11800H (TigerLake-8C) v0.7.2 [95]</c:v>
                </c:pt>
                <c:pt idx="26">
                  <c:v>i7 1065G (IceLake) v0.3.1 [3]</c:v>
                </c:pt>
                <c:pt idx="27">
                  <c:v>R7 4750U (RNR) v0.3.1 [7]</c:v>
                </c:pt>
                <c:pt idx="28">
                  <c:v>R9 7950X (RPL) @142w v0.7.5 [114]</c:v>
                </c:pt>
                <c:pt idx="29">
                  <c:v>R7 4700U (RNR) v0.7.0 [1]</c:v>
                </c:pt>
                <c:pt idx="30">
                  <c:v>i9 12900K (ADL) @125w v0.7.4 [101]</c:v>
                </c:pt>
                <c:pt idx="31">
                  <c:v>R5 PRO 4650G (RNR) v0.3.1 [12]</c:v>
                </c:pt>
                <c:pt idx="32">
                  <c:v>i5 12600K (ADL) v0.7.4 [98]</c:v>
                </c:pt>
                <c:pt idx="33">
                  <c:v>i9 12900K (ADL) v0.7.4 [100]</c:v>
                </c:pt>
                <c:pt idx="34">
                  <c:v>R7 7700X (RPL) v0.7.5 [109]</c:v>
                </c:pt>
                <c:pt idx="35">
                  <c:v>R7 4750G (RNR) v0.3.1 [5]</c:v>
                </c:pt>
                <c:pt idx="36">
                  <c:v>i7 1165G7 (TigerLake) v0.7.0 [82]</c:v>
                </c:pt>
                <c:pt idx="37">
                  <c:v>R5 4600H (RNR) v0.6.0 [44]</c:v>
                </c:pt>
                <c:pt idx="38">
                  <c:v>i5 12500H @AC v0.7.5 [124]</c:v>
                </c:pt>
                <c:pt idx="39">
                  <c:v>R7 6800U (RMB) @25w v0.7.5 [122]</c:v>
                </c:pt>
                <c:pt idx="40">
                  <c:v>i7 12700H (ADL) v0.7.4 [105]</c:v>
                </c:pt>
                <c:pt idx="41">
                  <c:v>R5 5600G (CZN) v0.7.3 [96]</c:v>
                </c:pt>
                <c:pt idx="42">
                  <c:v>R7 6850U (RMB) @AC v0.7.5 [125]</c:v>
                </c:pt>
                <c:pt idx="43">
                  <c:v>R7 5850U (CZN) @AC v0.7.5 [126]</c:v>
                </c:pt>
                <c:pt idx="44">
                  <c:v>R7 6850H (RMB) v0.7.5 [107]</c:v>
                </c:pt>
                <c:pt idx="45">
                  <c:v>R3 4300G (RNR) v0.7.0 [81]</c:v>
                </c:pt>
                <c:pt idx="46">
                  <c:v>R5 4500U (RNR) v0.7.0 [74]</c:v>
                </c:pt>
                <c:pt idx="47">
                  <c:v>i9 13900K (RTL) @160w v0.7.5 [119]</c:v>
                </c:pt>
                <c:pt idx="48">
                  <c:v>i9 13900K (RTL) @100w v0.7.5 [120]</c:v>
                </c:pt>
                <c:pt idx="49">
                  <c:v>i9 13900K (RTL) @65w v0.7.5 [121]</c:v>
                </c:pt>
                <c:pt idx="50">
                  <c:v>i9 13900K (RTL) @250w v0.7.5 [118]</c:v>
                </c:pt>
                <c:pt idx="51">
                  <c:v>R7 PRO 5750GE (CZN) v0.7.0 [103]</c:v>
                </c:pt>
                <c:pt idx="52">
                  <c:v>R7 5800H (CZN) v0.7.0 [77]</c:v>
                </c:pt>
                <c:pt idx="53">
                  <c:v>R9 5900HS (CZN) v0.5.0 [30]</c:v>
                </c:pt>
                <c:pt idx="54">
                  <c:v>R5 7600X (RPL) v0.7.5 [108]</c:v>
                </c:pt>
                <c:pt idx="55">
                  <c:v>R7 6800U (RMB) @12w v0.7.5 [113]</c:v>
                </c:pt>
                <c:pt idx="56">
                  <c:v>Apple M1 Max Estimate v0.7.3 [97]</c:v>
                </c:pt>
                <c:pt idx="57">
                  <c:v>Apple M1 Estimate v0.7.3 [94]</c:v>
                </c:pt>
              </c:strCache>
            </c:strRef>
          </c:cat>
          <c:val>
            <c:numRef>
              <c:f>'PES CB23ST'!$C$5:$C$63</c:f>
              <c:numCache>
                <c:formatCode>General</c:formatCode>
                <c:ptCount val="58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101.43</c:v>
                </c:pt>
                <c:pt idx="18">
                  <c:v>107.39</c:v>
                </c:pt>
                <c:pt idx="19">
                  <c:v>111.07</c:v>
                </c:pt>
                <c:pt idx="20">
                  <c:v>112.03</c:v>
                </c:pt>
                <c:pt idx="21">
                  <c:v>117.05</c:v>
                </c:pt>
                <c:pt idx="22">
                  <c:v>117.28</c:v>
                </c:pt>
                <c:pt idx="23">
                  <c:v>123.05</c:v>
                </c:pt>
                <c:pt idx="24">
                  <c:v>126.49</c:v>
                </c:pt>
                <c:pt idx="25">
                  <c:v>127.66</c:v>
                </c:pt>
                <c:pt idx="26">
                  <c:v>127.76</c:v>
                </c:pt>
                <c:pt idx="27">
                  <c:v>137.88</c:v>
                </c:pt>
                <c:pt idx="28">
                  <c:v>139.27000000000001</c:v>
                </c:pt>
                <c:pt idx="29">
                  <c:v>143.16999999999999</c:v>
                </c:pt>
                <c:pt idx="30">
                  <c:v>145.66</c:v>
                </c:pt>
                <c:pt idx="31">
                  <c:v>146.74</c:v>
                </c:pt>
                <c:pt idx="32">
                  <c:v>146.91</c:v>
                </c:pt>
                <c:pt idx="33">
                  <c:v>148.72</c:v>
                </c:pt>
                <c:pt idx="34">
                  <c:v>151.38999999999999</c:v>
                </c:pt>
                <c:pt idx="35">
                  <c:v>153.88</c:v>
                </c:pt>
                <c:pt idx="36">
                  <c:v>155.84</c:v>
                </c:pt>
                <c:pt idx="37">
                  <c:v>158.59</c:v>
                </c:pt>
                <c:pt idx="38">
                  <c:v>163.87</c:v>
                </c:pt>
                <c:pt idx="39">
                  <c:v>166.98</c:v>
                </c:pt>
                <c:pt idx="40">
                  <c:v>171.78</c:v>
                </c:pt>
                <c:pt idx="41">
                  <c:v>177.67</c:v>
                </c:pt>
                <c:pt idx="42">
                  <c:v>178</c:v>
                </c:pt>
                <c:pt idx="43">
                  <c:v>185.54</c:v>
                </c:pt>
                <c:pt idx="44">
                  <c:v>185.72</c:v>
                </c:pt>
                <c:pt idx="45">
                  <c:v>188.44</c:v>
                </c:pt>
                <c:pt idx="46">
                  <c:v>190</c:v>
                </c:pt>
                <c:pt idx="47">
                  <c:v>190.98</c:v>
                </c:pt>
                <c:pt idx="48">
                  <c:v>196.33</c:v>
                </c:pt>
                <c:pt idx="49">
                  <c:v>201.69</c:v>
                </c:pt>
                <c:pt idx="50">
                  <c:v>201.7</c:v>
                </c:pt>
                <c:pt idx="51">
                  <c:v>205.28</c:v>
                </c:pt>
                <c:pt idx="52">
                  <c:v>210.66</c:v>
                </c:pt>
                <c:pt idx="53">
                  <c:v>216.08</c:v>
                </c:pt>
                <c:pt idx="54">
                  <c:v>221.41</c:v>
                </c:pt>
                <c:pt idx="55">
                  <c:v>245.16</c:v>
                </c:pt>
                <c:pt idx="56">
                  <c:v>297.27408581529943</c:v>
                </c:pt>
                <c:pt idx="57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CB23ST'!$B$5:$B$63</c:f>
              <c:strCache>
                <c:ptCount val="58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v0.7.2 [90]</c:v>
                </c:pt>
                <c:pt idx="5">
                  <c:v>i7 8700k (CFL) v0.5.1 [41]</c:v>
                </c:pt>
                <c:pt idx="6">
                  <c:v>R7 5800X (Vermeer) v0.7.0 [66]</c:v>
                </c:pt>
                <c:pt idx="7">
                  <c:v>i7 11700K (RKL) v0.7.2 [84]</c:v>
                </c:pt>
                <c:pt idx="8">
                  <c:v>R9 7950X (RPL) @88w v0.7.5 [112]</c:v>
                </c:pt>
                <c:pt idx="9">
                  <c:v>R9 7950X (RPL) v0.7.5 [111]</c:v>
                </c:pt>
                <c:pt idx="10">
                  <c:v>i5 11500 (RKL) v0.7.2 [83]</c:v>
                </c:pt>
                <c:pt idx="11">
                  <c:v>R9 7900X (RPL) v0.7.5 [110]</c:v>
                </c:pt>
                <c:pt idx="12">
                  <c:v>R5 5600X (Vermeer) v0.7.0 [76]</c:v>
                </c:pt>
                <c:pt idx="13">
                  <c:v>R9 7950X (RPL) @142w v0.7.5 [114]</c:v>
                </c:pt>
                <c:pt idx="14">
                  <c:v>R7 5700X (Vermeer) v0.7.5 [123]</c:v>
                </c:pt>
                <c:pt idx="15">
                  <c:v>i9 12900K (ADL) @125w v0.7.4 [101]</c:v>
                </c:pt>
                <c:pt idx="16">
                  <c:v>i9 12900K (ADL) v0.7.4 [100]</c:v>
                </c:pt>
                <c:pt idx="17">
                  <c:v>R7 7700X (RPL) v0.7.5 [109]</c:v>
                </c:pt>
                <c:pt idx="18">
                  <c:v>i5 12600K (ADL) v0.7.4 [98]</c:v>
                </c:pt>
                <c:pt idx="19">
                  <c:v>R7 3700X (Matisse) v0.6.0 [47]</c:v>
                </c:pt>
                <c:pt idx="20">
                  <c:v>i9 13900K (RTL) @160w v0.7.5 [119]</c:v>
                </c:pt>
                <c:pt idx="21">
                  <c:v>i9 13900K (RTL) @100w v0.7.5 [120]</c:v>
                </c:pt>
                <c:pt idx="22">
                  <c:v>i7 11800H (TigerLake-8C) v0.7.2 [95]</c:v>
                </c:pt>
                <c:pt idx="23">
                  <c:v>i9 13900K (RTL) @250w v0.7.5 [118]</c:v>
                </c:pt>
                <c:pt idx="24">
                  <c:v>i9 13900K (RTL) @65w v0.7.5 [121]</c:v>
                </c:pt>
                <c:pt idx="25">
                  <c:v>R5 3500U (Picasso) v0.7.0 [73]</c:v>
                </c:pt>
                <c:pt idx="26">
                  <c:v>i5 4300U (Haswell) v0.6.0 [58]</c:v>
                </c:pt>
                <c:pt idx="27">
                  <c:v>i7 9750H (CFL) v0.7.0 [71]</c:v>
                </c:pt>
                <c:pt idx="28">
                  <c:v>i5 12500H @AC v0.7.5 [124]</c:v>
                </c:pt>
                <c:pt idx="29">
                  <c:v>i7 12700H (ADL) v0.7.4 [105]</c:v>
                </c:pt>
                <c:pt idx="30">
                  <c:v>i5 8365U (WKL) v0.3.1 [11]</c:v>
                </c:pt>
                <c:pt idx="31">
                  <c:v>i7 1165G7 (TigerLake) v0.7.0 [82]</c:v>
                </c:pt>
                <c:pt idx="32">
                  <c:v>i7 7500U (KBL) v0.5.1 [36]</c:v>
                </c:pt>
                <c:pt idx="33">
                  <c:v>R5 7600X (RPL) v0.7.5 [108]</c:v>
                </c:pt>
                <c:pt idx="34">
                  <c:v>R7 6800U (RMB) @25w v0.7.5 [122]</c:v>
                </c:pt>
                <c:pt idx="35">
                  <c:v>R7 6850U (RMB) @AC v0.7.5 [125]</c:v>
                </c:pt>
                <c:pt idx="36">
                  <c:v>R5 PRO 4650G (RNR) v0.3.1 [12]</c:v>
                </c:pt>
                <c:pt idx="37">
                  <c:v>R7 4700U (RNR) v0.7.0 [1]</c:v>
                </c:pt>
                <c:pt idx="38">
                  <c:v>R7 4750U (RNR) v0.3.1 [7]</c:v>
                </c:pt>
                <c:pt idx="39">
                  <c:v>i5 8250U (WKL) v0.6.0 [51]</c:v>
                </c:pt>
                <c:pt idx="40">
                  <c:v>R7 4750G (RNR) v0.3.1 [5]</c:v>
                </c:pt>
                <c:pt idx="41">
                  <c:v>R7 6850H (RMB) v0.7.5 [107]</c:v>
                </c:pt>
                <c:pt idx="42">
                  <c:v>R5 5600G (CZN) v0.7.3 [96]</c:v>
                </c:pt>
                <c:pt idx="43">
                  <c:v>i7 1065G (IceLake) v0.3.1 [3]</c:v>
                </c:pt>
                <c:pt idx="44">
                  <c:v>Celeron N5100 (JasperLake) v0.7.2 [80]</c:v>
                </c:pt>
                <c:pt idx="45">
                  <c:v>R7 5850U (CZN) @AC v0.7.5 [126]</c:v>
                </c:pt>
                <c:pt idx="46">
                  <c:v>R7 PRO 5750GE (CZN) v0.7.0 [103]</c:v>
                </c:pt>
                <c:pt idx="47">
                  <c:v>P Silver N6000 (JasperLake) v0.7.2 [79]</c:v>
                </c:pt>
                <c:pt idx="48">
                  <c:v>R5 4600H (RNR) v0.6.0 [44]</c:v>
                </c:pt>
                <c:pt idx="49">
                  <c:v>R7 5800H (CZN) v0.7.0 [77]</c:v>
                </c:pt>
                <c:pt idx="50">
                  <c:v>R5 2500U (Raven Ridge) v0.7.0 [75]</c:v>
                </c:pt>
                <c:pt idx="51">
                  <c:v>R9 5900HS (CZN) v0.5.0 [30]</c:v>
                </c:pt>
                <c:pt idx="52">
                  <c:v>R5 4500U (RNR) v0.7.0 [74]</c:v>
                </c:pt>
                <c:pt idx="53">
                  <c:v>R7 6800U (RMB) @12w v0.7.5 [113]</c:v>
                </c:pt>
                <c:pt idx="54">
                  <c:v>i3 6157U (Skylake) v0.6.0 [63]</c:v>
                </c:pt>
                <c:pt idx="55">
                  <c:v>R3 4300G (RNR) v0.7.0 [81]</c:v>
                </c:pt>
                <c:pt idx="56">
                  <c:v>Apple M1 Max Estimate v0.7.3 [97]</c:v>
                </c:pt>
                <c:pt idx="57">
                  <c:v>Apple M1 Estimate v0.7.3 [94]</c:v>
                </c:pt>
              </c:strCache>
            </c:strRef>
          </c:cat>
          <c:val>
            <c:numRef>
              <c:f>'Consumption CB23ST'!$C$5:$C$63</c:f>
              <c:numCache>
                <c:formatCode>General</c:formatCode>
                <c:ptCount val="58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18633.27</c:v>
                </c:pt>
                <c:pt idx="15">
                  <c:v>16888</c:v>
                </c:pt>
                <c:pt idx="16">
                  <c:v>16621</c:v>
                </c:pt>
                <c:pt idx="17">
                  <c:v>16232</c:v>
                </c:pt>
                <c:pt idx="18">
                  <c:v>16019</c:v>
                </c:pt>
                <c:pt idx="19">
                  <c:v>15775</c:v>
                </c:pt>
                <c:pt idx="20">
                  <c:v>14623</c:v>
                </c:pt>
                <c:pt idx="21">
                  <c:v>14127</c:v>
                </c:pt>
                <c:pt idx="22">
                  <c:v>14109</c:v>
                </c:pt>
                <c:pt idx="23">
                  <c:v>13802</c:v>
                </c:pt>
                <c:pt idx="24">
                  <c:v>13798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12527</c:v>
                </c:pt>
                <c:pt idx="29">
                  <c:v>12332</c:v>
                </c:pt>
                <c:pt idx="30">
                  <c:v>11657</c:v>
                </c:pt>
                <c:pt idx="31">
                  <c:v>11590</c:v>
                </c:pt>
                <c:pt idx="32">
                  <c:v>11096</c:v>
                </c:pt>
                <c:pt idx="33">
                  <c:v>10913</c:v>
                </c:pt>
                <c:pt idx="34">
                  <c:v>10863.79</c:v>
                </c:pt>
                <c:pt idx="35">
                  <c:v>10571</c:v>
                </c:pt>
                <c:pt idx="36">
                  <c:v>10450</c:v>
                </c:pt>
                <c:pt idx="37">
                  <c:v>10432</c:v>
                </c:pt>
                <c:pt idx="38">
                  <c:v>10396</c:v>
                </c:pt>
                <c:pt idx="39">
                  <c:v>10395</c:v>
                </c:pt>
                <c:pt idx="40">
                  <c:v>10352</c:v>
                </c:pt>
                <c:pt idx="41">
                  <c:v>10028</c:v>
                </c:pt>
                <c:pt idx="42">
                  <c:v>9989</c:v>
                </c:pt>
                <c:pt idx="43">
                  <c:v>9839</c:v>
                </c:pt>
                <c:pt idx="44">
                  <c:v>9505</c:v>
                </c:pt>
                <c:pt idx="45">
                  <c:v>8977</c:v>
                </c:pt>
                <c:pt idx="46">
                  <c:v>8876.3700000000008</c:v>
                </c:pt>
                <c:pt idx="47">
                  <c:v>8577.2000000000007</c:v>
                </c:pt>
                <c:pt idx="48">
                  <c:v>8278</c:v>
                </c:pt>
                <c:pt idx="49">
                  <c:v>8085</c:v>
                </c:pt>
                <c:pt idx="50">
                  <c:v>7799</c:v>
                </c:pt>
                <c:pt idx="51">
                  <c:v>7445</c:v>
                </c:pt>
                <c:pt idx="52">
                  <c:v>7302.14</c:v>
                </c:pt>
                <c:pt idx="53">
                  <c:v>7000.34</c:v>
                </c:pt>
                <c:pt idx="54">
                  <c:v>6987</c:v>
                </c:pt>
                <c:pt idx="55">
                  <c:v>6349.88</c:v>
                </c:pt>
                <c:pt idx="56">
                  <c:v>6083</c:v>
                </c:pt>
                <c:pt idx="57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7B0D4186-14EF-4209-867B-1352B70B851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CB6BE98-C6E9-433F-B550-65F70EDC43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4587AEB4-B243-4405-B4BF-1F3EB0EC14E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3AB98339-7D7D-412D-9983-3215E0E584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1F36C9-4896-4A7A-B82E-3136E9A46B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9C8E9B93-E89C-4081-810B-DAC659A3D9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076F97A2-C6F4-404A-A937-F13CB875EB4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8FEB386F-FE9A-42A8-B715-99C2E176070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BE728ED6-5AD4-4037-99CB-51A346014E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B11156C9-10B0-486D-A294-FF66C301533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6C86BAD0-1D2D-4AC4-8D35-B2B1B0BAB5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0D5CAE6-54AB-4116-A3C8-F7773F98263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B9E30840-ACF0-4336-9343-D91B01563AD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13789EEC-C184-420F-B5D4-921DFEEA17E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69EED754-E853-4CCF-A160-266C166477A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B93FB1E7-F595-4F3E-A043-84196A71F17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8627955C-ACD0-4998-86E5-8D1A8994A41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3E116E1-D882-4807-B1F7-DD3748440B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A5DA309-A308-478B-A26B-F5BABABCEE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58B032E7-ED32-48C9-839C-68CFB268CF0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DFC4A44-3F45-45BC-8D34-DDE95BD689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9C714D83-1173-400C-A3C7-731E5FB1FA5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723D9462-7A2F-4EEE-935D-A0AC918225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C915737A-2736-42A7-9DC9-4B59721803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0A0314A-0AEE-42F4-940C-32D33ED1E3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3EA26010-776D-485B-A223-B94BEA9BC7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1FB56AE0-12DE-4096-AA39-79155129D2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4A72DD12-2ABB-45AF-91DF-A53559C191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44EFDD1F-B811-4208-AE18-94850F4600B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63D1E87-A7C3-4D20-8675-6CB469CCAAA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CB11DBC-F8FC-47C5-B363-B238FC8EF9FE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E9817A2B-71D7-45E2-9BD6-3B7A65833F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AD583232-4796-40F4-9804-C29358B5EC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9F47C68E-C85E-4F95-A335-175A5B7861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2507CB49-683C-4341-B842-7351C75821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B18B45DB-D052-46C5-9A35-454B9906094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A47B5E14-C2C9-44DB-A9AE-6A9EB63993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DF589958-9254-4E49-9779-38C393110F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A915A408-2FA0-46F3-AAC5-36B54204C7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8FC92099-BAD3-4F76-AACE-8B91DE233D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CB53335F-8232-49AC-8AE4-50C67091368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CAA1791F-B1CE-4946-B0E2-90B881849D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E799053D-BE94-4C8B-8477-CF2E61F4365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5B6E4596-F511-42C8-8023-FABA28DCEC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CDB552C0-F67A-4F3D-9F5E-B4A5F61BC38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33AF5362-EC20-4EF3-B778-D6F5A7F9A85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D22AE06D-9E40-4031-8CF9-1A06D397BE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537C8DD4-4C25-40C9-96F5-A6102B7120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D89DAE42-AC64-4B58-9B66-315686388AC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B72E88DA-AC38-4568-892A-2C51686049D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5502078D-D816-4F4C-AE9F-D8753C2EB80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5DA23C0-0418-4D9F-B5CE-3A353F5226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D5824419-DAF6-456E-BCEB-C912DDAA0A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6FE4A378-18C0-4EE2-A6DC-4C265077EA9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3EC04E07-B804-415C-9A49-D485BC4A3D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7FC79F43-7DF1-4829-AA84-AE981555A2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620826E6-1128-469C-B0D8-2DE2246C58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9670138A-8872-47F7-B709-F9E73C7ADD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A3EFCC2F-D247-4B5C-A566-B9E42F1F5C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A3C5AE4-4EFC-4CA3-968B-496FB212DA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406.52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400.87</c:v>
                </c:pt>
                <c:pt idx="110">
                  <c:v>582.69000000000005</c:v>
                </c:pt>
                <c:pt idx="111">
                  <c:v>375.18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358.08</c:v>
                </c:pt>
                <c:pt idx="117">
                  <c:v>360.55</c:v>
                </c:pt>
                <c:pt idx="118">
                  <c:v>359.34</c:v>
                </c:pt>
                <c:pt idx="119">
                  <c:v>551.25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499.88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458.11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1184.2728564661297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940.24728503596441</c:v>
                </c:pt>
                <c:pt idx="110">
                  <c:v>2857.0040883728502</c:v>
                </c:pt>
                <c:pt idx="111">
                  <c:v>1045.0101548861801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1367.7084045681461</c:v>
                </c:pt>
                <c:pt idx="117">
                  <c:v>1415.728746372195</c:v>
                </c:pt>
                <c:pt idx="118">
                  <c:v>1449.4854326714017</c:v>
                </c:pt>
                <c:pt idx="119">
                  <c:v>1840.9781485098661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2250.9189376562981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1713.9429257005743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592.13642823306486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470.1236425179822</c:v>
                </c:pt>
                <c:pt idx="110">
                  <c:v>1428.5020441864251</c:v>
                </c:pt>
                <c:pt idx="111">
                  <c:v>522.50507744309004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683.85420228407304</c:v>
                </c:pt>
                <c:pt idx="117">
                  <c:v>707.86437318609751</c:v>
                </c:pt>
                <c:pt idx="118">
                  <c:v>724.74271633570083</c:v>
                </c:pt>
                <c:pt idx="119">
                  <c:v>920.48907425493303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1125.4594688281491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856.97146285028714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296.06821411653243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235.0618212589911</c:v>
                </c:pt>
                <c:pt idx="110">
                  <c:v>714.25102209321255</c:v>
                </c:pt>
                <c:pt idx="111">
                  <c:v>261.25253872154502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341.92710114203652</c:v>
                </c:pt>
                <c:pt idx="117">
                  <c:v>353.93218659304875</c:v>
                </c:pt>
                <c:pt idx="118">
                  <c:v>362.37135816785042</c:v>
                </c:pt>
                <c:pt idx="119">
                  <c:v>460.24453712746651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562.72973441407453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428.48573142514357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197.37880941102165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156.70788083932743</c:v>
                </c:pt>
                <c:pt idx="110">
                  <c:v>476.16734806214174</c:v>
                </c:pt>
                <c:pt idx="111">
                  <c:v>174.16835914769669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227.95140076135769</c:v>
                </c:pt>
                <c:pt idx="117">
                  <c:v>235.95479106203251</c:v>
                </c:pt>
                <c:pt idx="118">
                  <c:v>241.58090544523361</c:v>
                </c:pt>
                <c:pt idx="119">
                  <c:v>306.82969141831103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375.15315627604969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285.65715428342907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148.03410705826622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117.53091062949555</c:v>
                </c:pt>
                <c:pt idx="110">
                  <c:v>357.12551104660628</c:v>
                </c:pt>
                <c:pt idx="111">
                  <c:v>130.62626936077251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170.96355057101826</c:v>
                </c:pt>
                <c:pt idx="117">
                  <c:v>176.96609329652438</c:v>
                </c:pt>
                <c:pt idx="118">
                  <c:v>181.18567908392521</c:v>
                </c:pt>
                <c:pt idx="119">
                  <c:v>230.12226856373326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281.36486720703726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214.24286571257178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118.42728564661299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94.02472850359645</c:v>
                </c:pt>
                <c:pt idx="110">
                  <c:v>285.70040883728507</c:v>
                </c:pt>
                <c:pt idx="111">
                  <c:v>104.50101548861801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136.7708404568146</c:v>
                </c:pt>
                <c:pt idx="117">
                  <c:v>141.57287463721951</c:v>
                </c:pt>
                <c:pt idx="118">
                  <c:v>144.94854326714017</c:v>
                </c:pt>
                <c:pt idx="119">
                  <c:v>184.09781485098662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225.09189376562981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171.39429257005742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98.689404705510825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78.353940419663715</c:v>
                </c:pt>
                <c:pt idx="110">
                  <c:v>238.08367403107087</c:v>
                </c:pt>
                <c:pt idx="111">
                  <c:v>87.084179573848346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113.97570038067884</c:v>
                </c:pt>
                <c:pt idx="117">
                  <c:v>117.97739553101626</c:v>
                </c:pt>
                <c:pt idx="118">
                  <c:v>120.79045272261681</c:v>
                </c:pt>
                <c:pt idx="119">
                  <c:v>153.41484570915551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187.57657813802484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142.82857714171453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84.590918319009276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67.160520359711754</c:v>
                </c:pt>
                <c:pt idx="110">
                  <c:v>204.07172059806075</c:v>
                </c:pt>
                <c:pt idx="111">
                  <c:v>74.643582491870006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97.693457469153302</c:v>
                </c:pt>
                <c:pt idx="117">
                  <c:v>101.12348188372823</c:v>
                </c:pt>
                <c:pt idx="118">
                  <c:v>103.53467376224297</c:v>
                </c:pt>
                <c:pt idx="119">
                  <c:v>131.49843917927615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160.77992411830701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122.42449469289816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74.017053529133108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58.765455314747776</c:v>
                </c:pt>
                <c:pt idx="110">
                  <c:v>178.56275552330314</c:v>
                </c:pt>
                <c:pt idx="111">
                  <c:v>65.313134680386256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85.48177528550913</c:v>
                </c:pt>
                <c:pt idx="117">
                  <c:v>88.483046648262189</c:v>
                </c:pt>
                <c:pt idx="118">
                  <c:v>90.592839541962604</c:v>
                </c:pt>
                <c:pt idx="119">
                  <c:v>115.06113428186663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140.68243360351863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107.12143285628589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65.792936470340535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52.235960279775796</c:v>
                </c:pt>
                <c:pt idx="110">
                  <c:v>158.72244935404723</c:v>
                </c:pt>
                <c:pt idx="111">
                  <c:v>58.056119715898888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75.983800253785887</c:v>
                </c:pt>
                <c:pt idx="117">
                  <c:v>78.651597020677499</c:v>
                </c:pt>
                <c:pt idx="118">
                  <c:v>80.526968481744532</c:v>
                </c:pt>
                <c:pt idx="119">
                  <c:v>102.27656380610367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125.05105209201655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95.219051427809674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16888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21271</c:v>
                </c:pt>
                <c:pt idx="110">
                  <c:v>7000.34</c:v>
                </c:pt>
                <c:pt idx="111">
                  <c:v>19138.57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14623</c:v>
                </c:pt>
                <c:pt idx="117">
                  <c:v>14127</c:v>
                </c:pt>
                <c:pt idx="118">
                  <c:v>13798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59.213642823306493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47.012364251798225</c:v>
                </c:pt>
                <c:pt idx="110">
                  <c:v>142.85020441864253</c:v>
                </c:pt>
                <c:pt idx="111">
                  <c:v>52.250507744309004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68.385420228407298</c:v>
                </c:pt>
                <c:pt idx="117">
                  <c:v>70.786437318609757</c:v>
                </c:pt>
                <c:pt idx="118">
                  <c:v>72.474271633570083</c:v>
                </c:pt>
                <c:pt idx="119">
                  <c:v>92.048907425493312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112.5459468828149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85.697146285028708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CB23MT'!$B$5:$B$63</c:f>
              <c:strCache>
                <c:ptCount val="58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i7 11800H (TigerLake-8C) v0.7.2 [95]</c:v>
                </c:pt>
                <c:pt idx="28">
                  <c:v>i5 12600K (ADL) v0.7.4 [98]</c:v>
                </c:pt>
                <c:pt idx="29">
                  <c:v>R7 5700X (Vermeer) v0.7.5 [123]</c:v>
                </c:pt>
                <c:pt idx="30">
                  <c:v>R9 3900X (Matisse) v0.7.5 [116]</c:v>
                </c:pt>
                <c:pt idx="31">
                  <c:v>R5 7600X (RPL) v0.7.5 [108]</c:v>
                </c:pt>
                <c:pt idx="32">
                  <c:v>R7 5800H (CZN) v0.7.0 [77]</c:v>
                </c:pt>
                <c:pt idx="33">
                  <c:v>R7 4750U (RNR) v0.3.1 [7]</c:v>
                </c:pt>
                <c:pt idx="34">
                  <c:v>i5 12500H @AC v0.7.5 [124]</c:v>
                </c:pt>
                <c:pt idx="35">
                  <c:v>R9 5900HS (CZN) v0.5.0 [30]</c:v>
                </c:pt>
                <c:pt idx="36">
                  <c:v>i9 12900K (ADL) v0.7.4 [100]</c:v>
                </c:pt>
                <c:pt idx="37">
                  <c:v>i7 12700H (ADL) v0.7.4 [105]</c:v>
                </c:pt>
                <c:pt idx="38">
                  <c:v>R9 5900X (Vermeer) v0.7.2 [90]</c:v>
                </c:pt>
                <c:pt idx="39">
                  <c:v>R7 7700X (RPL) v0.7.5 [109]</c:v>
                </c:pt>
                <c:pt idx="40">
                  <c:v>R7 5850U (CZN) @AC v0.7.5 [126]</c:v>
                </c:pt>
                <c:pt idx="41">
                  <c:v>R7 PRO 5750GE (CZN) v0.7.0 [103]</c:v>
                </c:pt>
                <c:pt idx="42">
                  <c:v>R7 6800U (RMB) @12w v0.7.5 [113]</c:v>
                </c:pt>
                <c:pt idx="43">
                  <c:v>R7 6850U (RMB) @AC v0.7.5 [125]</c:v>
                </c:pt>
                <c:pt idx="44">
                  <c:v>R7 6850H (RMB) v0.7.5 [107]</c:v>
                </c:pt>
                <c:pt idx="45">
                  <c:v>R7 6800U (RMB) @25w v0.7.5 [122]</c:v>
                </c:pt>
                <c:pt idx="46">
                  <c:v>Apple M1 Estimate v0.7.3 [94]</c:v>
                </c:pt>
                <c:pt idx="47">
                  <c:v>i9 12900K (ADL) @125w v0.7.4 [101]</c:v>
                </c:pt>
                <c:pt idx="48">
                  <c:v>Apple M1 Max Estimate v0.7.3 [97]</c:v>
                </c:pt>
                <c:pt idx="49">
                  <c:v>R9 7900X (RPL) v0.7.5 [110]</c:v>
                </c:pt>
                <c:pt idx="50">
                  <c:v>R9 5950X (Vermeer) v0.5.1 [43]</c:v>
                </c:pt>
                <c:pt idx="51">
                  <c:v>i9 13900K (RTL) @250w v0.7.5 [118]</c:v>
                </c:pt>
                <c:pt idx="52">
                  <c:v>i9 13900K (RTL) @160w v0.7.5 [119]</c:v>
                </c:pt>
                <c:pt idx="53">
                  <c:v>R9 7950X (RPL) v0.7.5 [111]</c:v>
                </c:pt>
                <c:pt idx="54">
                  <c:v>i9 13900K (RTL) @100w v0.7.5 [120]</c:v>
                </c:pt>
                <c:pt idx="55">
                  <c:v>i9 13900K (RTL) @65w v0.7.5 [121]</c:v>
                </c:pt>
                <c:pt idx="56">
                  <c:v>R9 7950X (RPL) @142w v0.7.5 [114]</c:v>
                </c:pt>
                <c:pt idx="57">
                  <c:v>R9 7950X (RPL) @88w v0.7.5 [112]</c:v>
                </c:pt>
              </c:strCache>
            </c:strRef>
          </c:cat>
          <c:val>
            <c:numRef>
              <c:f>'PES CB23MT'!$C$5:$C$63</c:f>
              <c:numCache>
                <c:formatCode>General</c:formatCode>
                <c:ptCount val="58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2779.74</c:v>
                </c:pt>
                <c:pt idx="28">
                  <c:v>3113.06</c:v>
                </c:pt>
                <c:pt idx="29">
                  <c:v>3142</c:v>
                </c:pt>
                <c:pt idx="30">
                  <c:v>3221.89</c:v>
                </c:pt>
                <c:pt idx="31">
                  <c:v>3285.45</c:v>
                </c:pt>
                <c:pt idx="32">
                  <c:v>3492.77</c:v>
                </c:pt>
                <c:pt idx="33">
                  <c:v>3599.63</c:v>
                </c:pt>
                <c:pt idx="34">
                  <c:v>3618</c:v>
                </c:pt>
                <c:pt idx="35">
                  <c:v>3936.18</c:v>
                </c:pt>
                <c:pt idx="36">
                  <c:v>4012.09</c:v>
                </c:pt>
                <c:pt idx="37">
                  <c:v>4214.75</c:v>
                </c:pt>
                <c:pt idx="38">
                  <c:v>4236.1000000000004</c:v>
                </c:pt>
                <c:pt idx="39">
                  <c:v>4444.33</c:v>
                </c:pt>
                <c:pt idx="40">
                  <c:v>4706.6000000000004</c:v>
                </c:pt>
                <c:pt idx="41">
                  <c:v>4818.3599999999997</c:v>
                </c:pt>
                <c:pt idx="42">
                  <c:v>4928.8</c:v>
                </c:pt>
                <c:pt idx="43">
                  <c:v>5024.5</c:v>
                </c:pt>
                <c:pt idx="44">
                  <c:v>5041.29</c:v>
                </c:pt>
                <c:pt idx="45">
                  <c:v>5150.16</c:v>
                </c:pt>
                <c:pt idx="46">
                  <c:v>5380.0754286575102</c:v>
                </c:pt>
                <c:pt idx="47">
                  <c:v>5553.64</c:v>
                </c:pt>
                <c:pt idx="48">
                  <c:v>5753.1937416758474</c:v>
                </c:pt>
                <c:pt idx="49">
                  <c:v>6261.2</c:v>
                </c:pt>
                <c:pt idx="50">
                  <c:v>6668.05</c:v>
                </c:pt>
                <c:pt idx="51">
                  <c:v>6846.19</c:v>
                </c:pt>
                <c:pt idx="52">
                  <c:v>8538.84</c:v>
                </c:pt>
                <c:pt idx="53">
                  <c:v>8913.74</c:v>
                </c:pt>
                <c:pt idx="54">
                  <c:v>10136.27</c:v>
                </c:pt>
                <c:pt idx="55">
                  <c:v>10676.69</c:v>
                </c:pt>
                <c:pt idx="56">
                  <c:v>11599.53</c:v>
                </c:pt>
                <c:pt idx="57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CB23MT'!$B$5:$B$63</c:f>
              <c:strCache>
                <c:ptCount val="58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R7 5700X (Vermeer) v0.7.5 [123]</c:v>
                </c:pt>
                <c:pt idx="25">
                  <c:v>R7 7700X (RPL) v0.7.5 [109]</c:v>
                </c:pt>
                <c:pt idx="26">
                  <c:v>i7 11800H (TigerLake-8C) v0.7.2 [95]</c:v>
                </c:pt>
                <c:pt idx="27">
                  <c:v>R9 7900X (RPL) v0.7.5 [110]</c:v>
                </c:pt>
                <c:pt idx="28">
                  <c:v>i5 8365U (WKL) v0.3.1 [11]</c:v>
                </c:pt>
                <c:pt idx="29">
                  <c:v>Celeron N5100 (JasperLake) v0.7.2 [80]</c:v>
                </c:pt>
                <c:pt idx="30">
                  <c:v>i9 12900K (ADL) @125w v0.7.4 [101]</c:v>
                </c:pt>
                <c:pt idx="31">
                  <c:v>R9 5950X (Vermeer) v0.5.1 [43]</c:v>
                </c:pt>
                <c:pt idx="32">
                  <c:v>R3 4300G (RNR) v0.7.0 [81]</c:v>
                </c:pt>
                <c:pt idx="33">
                  <c:v>R9 7950X (RPL) v0.7.5 [111]</c:v>
                </c:pt>
                <c:pt idx="34">
                  <c:v>i9 13900K (RTL) @160w v0.7.5 [119]</c:v>
                </c:pt>
                <c:pt idx="35">
                  <c:v>i7 1065G (IceLake) v0.3.1 [3]</c:v>
                </c:pt>
                <c:pt idx="36">
                  <c:v>R5 4600H (RNR) v0.6.0 [44]</c:v>
                </c:pt>
                <c:pt idx="37">
                  <c:v>R7 5800H (CZN) v0.7.0 [77]</c:v>
                </c:pt>
                <c:pt idx="38">
                  <c:v>P Silver N6000 (JasperLake) v0.7.2 [79]</c:v>
                </c:pt>
                <c:pt idx="39">
                  <c:v>i5 12500H @AC v0.7.5 [124]</c:v>
                </c:pt>
                <c:pt idx="40">
                  <c:v>i7 12700H (ADL) v0.7.4 [105]</c:v>
                </c:pt>
                <c:pt idx="41">
                  <c:v>R9 7950X (RPL) @142w v0.7.5 [114]</c:v>
                </c:pt>
                <c:pt idx="42">
                  <c:v>R9 5900HS (CZN) v0.5.0 [30]</c:v>
                </c:pt>
                <c:pt idx="43">
                  <c:v>i9 13900K (RTL) @100w v0.7.5 [120]</c:v>
                </c:pt>
                <c:pt idx="44">
                  <c:v>R5 4500U (RNR) v0.7.0 [74]</c:v>
                </c:pt>
                <c:pt idx="45">
                  <c:v>R7 PRO 5750GE (CZN) v0.7.0 [103]</c:v>
                </c:pt>
                <c:pt idx="46">
                  <c:v>R5 2500U (Raven Ridge) v0.7.0 [75]</c:v>
                </c:pt>
                <c:pt idx="47">
                  <c:v>R9 7950X (RPL) @88w v0.7.5 [112]</c:v>
                </c:pt>
                <c:pt idx="48">
                  <c:v>R7 6850U (RMB) @AC v0.7.5 [125]</c:v>
                </c:pt>
                <c:pt idx="49">
                  <c:v>R7 6850H (RMB) v0.7.5 [107]</c:v>
                </c:pt>
                <c:pt idx="50">
                  <c:v>Apple M1 Max Estimate v0.7.3 [97]</c:v>
                </c:pt>
                <c:pt idx="51">
                  <c:v>R7 4700U (RNR) v0.7.0 [1]</c:v>
                </c:pt>
                <c:pt idx="52">
                  <c:v>i9 13900K (RTL) @65w v0.7.5 [121]</c:v>
                </c:pt>
                <c:pt idx="53">
                  <c:v>R7 6800U (RMB) @25w v0.7.5 [122]</c:v>
                </c:pt>
                <c:pt idx="54">
                  <c:v>R7 4750U (RNR) v0.3.1 [7]</c:v>
                </c:pt>
                <c:pt idx="55">
                  <c:v>R7 5850U (CZN) @AC v0.7.5 [126]</c:v>
                </c:pt>
                <c:pt idx="56">
                  <c:v>Apple M1 Estimate v0.7.3 [94]</c:v>
                </c:pt>
                <c:pt idx="57">
                  <c:v>R7 6800U (RMB) @12w v0.7.5 [113]</c:v>
                </c:pt>
              </c:strCache>
            </c:strRef>
          </c:cat>
          <c:val>
            <c:numRef>
              <c:f>'Consumption CB23MT'!$C$5:$C$63</c:f>
              <c:numCache>
                <c:formatCode>General</c:formatCode>
                <c:ptCount val="58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4836</c:v>
                </c:pt>
                <c:pt idx="25">
                  <c:v>4821</c:v>
                </c:pt>
                <c:pt idx="26">
                  <c:v>4800.7988888888895</c:v>
                </c:pt>
                <c:pt idx="27">
                  <c:v>4764</c:v>
                </c:pt>
                <c:pt idx="28">
                  <c:v>4575</c:v>
                </c:pt>
                <c:pt idx="29">
                  <c:v>4550</c:v>
                </c:pt>
                <c:pt idx="30">
                  <c:v>4469</c:v>
                </c:pt>
                <c:pt idx="31">
                  <c:v>4149</c:v>
                </c:pt>
                <c:pt idx="32">
                  <c:v>4075.1950000000002</c:v>
                </c:pt>
                <c:pt idx="33">
                  <c:v>4067</c:v>
                </c:pt>
                <c:pt idx="34">
                  <c:v>3964</c:v>
                </c:pt>
                <c:pt idx="35">
                  <c:v>3912</c:v>
                </c:pt>
                <c:pt idx="36">
                  <c:v>3886</c:v>
                </c:pt>
                <c:pt idx="37">
                  <c:v>3775</c:v>
                </c:pt>
                <c:pt idx="38">
                  <c:v>3703.3049999999998</c:v>
                </c:pt>
                <c:pt idx="39">
                  <c:v>3584</c:v>
                </c:pt>
                <c:pt idx="40">
                  <c:v>3495</c:v>
                </c:pt>
                <c:pt idx="41">
                  <c:v>3245.53</c:v>
                </c:pt>
                <c:pt idx="42">
                  <c:v>3010</c:v>
                </c:pt>
                <c:pt idx="43">
                  <c:v>2947</c:v>
                </c:pt>
                <c:pt idx="44">
                  <c:v>2723.7275</c:v>
                </c:pt>
                <c:pt idx="45">
                  <c:v>2681.15</c:v>
                </c:pt>
                <c:pt idx="46">
                  <c:v>2588</c:v>
                </c:pt>
                <c:pt idx="47">
                  <c:v>2564</c:v>
                </c:pt>
                <c:pt idx="48">
                  <c:v>2505</c:v>
                </c:pt>
                <c:pt idx="49">
                  <c:v>2500</c:v>
                </c:pt>
                <c:pt idx="50">
                  <c:v>2431</c:v>
                </c:pt>
                <c:pt idx="51">
                  <c:v>2410</c:v>
                </c:pt>
                <c:pt idx="52">
                  <c:v>2361</c:v>
                </c:pt>
                <c:pt idx="53">
                  <c:v>2204.2800000000002</c:v>
                </c:pt>
                <c:pt idx="54">
                  <c:v>2029</c:v>
                </c:pt>
                <c:pt idx="55">
                  <c:v>1779</c:v>
                </c:pt>
                <c:pt idx="56">
                  <c:v>1669.5</c:v>
                </c:pt>
                <c:pt idx="57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00FEEF-FA8B-4C5D-83EE-BFF95B8BE9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CDCA32-B92A-4D70-BC4E-8042DF6C56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D31D73A7-FC4F-4080-807E-4AE0717471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75015AA0-71E3-467F-8B35-A99DC092A65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C86CC9DA-B31C-4493-932F-B803CD2073B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BD46FE-8436-43B1-A502-6D237B3F60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11C46003-028E-4D9B-A189-F9303882B8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61D4B4-193D-4AD4-8D4F-61D987628D44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52A93544-B203-4186-926A-BEC9F7A16BC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4FBE4B03-6D86-47F2-A0E7-9F012C6A738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778B1B4-E89D-41B1-8C9E-2F494C30E7E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511E288-DE2E-498F-B8CF-695252B7F5D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095DFF57-B954-45BC-83E3-DA7508B87F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2A17214-93B6-4441-807C-827BE64E89E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A622B33-6E55-4F74-A377-4268B818C1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22E66C89-4C9C-4A78-9537-DFD65841BEF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25934093-AA1A-4825-8791-B3F0272D82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BCAD2C7-2184-4E48-9E74-D92C90F214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74D2655-4066-4E49-B5DF-71572642F2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134E29B-5359-4C19-9C51-D417EE3D1F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01AC8A8-8CF5-48C6-A225-ADA64E6C0D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B4EC689F-7678-40CB-8F1B-D8F10E074E6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77952D0F-63DC-4880-9BAF-C153CEB78F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96A48CB8-6949-4682-8B3E-F7F52D343A8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F9295CC4-F55A-464C-900F-1E8D2E23DA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70EA1D4-2976-40E8-9A1C-F337E575F3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2F493A9-25AB-4DAA-96C3-B5BBFC49EA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B5497C5E-C8BB-4382-8990-681158371E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013BDAFE-C802-405C-85BB-AE4D57B5502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EB1C5FC6-4A97-4395-A8D7-E4D80BE7D0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3B284F1-06CD-4AE9-A668-242A32EE28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C889F9A9-7F02-4F17-BA61-E449DF26EFE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12F600B2-DB47-46A2-8B25-F91E1A89387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2.8222219086420103E-3"/>
                </c:manualLayout>
              </c:layout>
              <c:tx>
                <c:rich>
                  <a:bodyPr/>
                  <a:lstStyle/>
                  <a:p>
                    <a:fld id="{22053E6E-6B79-4DA0-B623-B3D9DBE301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94A257DB-C355-42F3-AC07-8DEF76D329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61F64800-B390-4142-883D-739C0DC5A26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897A862-5B1F-4EE2-B7A1-A466F68359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284F4B84-D074-4184-BF3C-35E4C20B12D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C65D02A7-09C9-44EC-BD2D-3BDF80D6A9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3EA9CC0A-F2AD-4539-ACF0-4A19FACBD82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D3A75CAC-B3CE-48EF-ABBB-D711961CE03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B858AE97-76C1-4C1A-9FE6-3AEC0C84F41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4665849-DFC5-4664-8E04-A9FBC30CAF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8AC8CF85-C470-4BB3-B62C-C0E9731A39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15C5293-3A1B-487F-ABA6-608F8A79888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FF12623-71EF-4337-982A-23A6C2DB74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91D23D9-278E-4C9D-846A-B2751F0337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42516D2-7EB8-48BF-93DE-4170071C98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CAA84B39-BF43-46E8-9CDC-B695370F6D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46E4D2A-AE3C-47F0-994A-76F84434887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EAEBA57C-439E-4431-BC69-5F04975802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673696F-A674-4F78-9FF2-3B5F98FA9D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1CB0083-C104-4F0C-A8C3-49CEFB8CEC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0AA1BBB-A8F8-4C22-B3A5-2CEFE8FABE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E1B3BAC8-BC88-407C-AA5F-F180679570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5B3213C5-4DA9-4939-A933-0F32B4C8EB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0864DBA9-B0E6-4D98-AD87-CB435D7D15C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399ECB04-C254-41F1-A048-6031CE369D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9EFD44C-BB78-47DC-985E-1A072DEE7B1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894A4F80-8D0D-4AD3-A203-C9AC43BE37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132.94399999999999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76.209999999999994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738.44336139418101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411.01520756267979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369.22168069709051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205.5076037813399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184.61084034854525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102.75380189066995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123.07389356569684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68.50253459377997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92.305420174272626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51.376900945334974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73.844336139418104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41.101520756267981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61.536946782848418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34.251267296889985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52.745954385298653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29.358229111619991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46.152710087136313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25.688450472667487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41.024631188565614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22.834178197926658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36.922168069709052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20.55076037813399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33.565607336099141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18.682509434667264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30.768473391424209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17.125633648444992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28.401667745930041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15.808277213949223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26.372977192649326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14.679114555809996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24.614778713139369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13.700506918755995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926.427165046298" createdVersion="7" refreshedVersion="8" minRefreshableVersion="3" recordCount="126" xr:uid="{C24FFD77-3521-4F02-80D3-24DB3F3B062D}">
  <cacheSource type="worksheet">
    <worksheetSource name="GeneralTable"/>
  </cacheSource>
  <cacheFields count="25">
    <cacheField name="Ref." numFmtId="0">
      <sharedItems containsSemiMixedTypes="0" containsString="0" containsNumber="1" containsInteger="1" minValue="1" maxValue="128"/>
    </cacheField>
    <cacheField name="Ver" numFmtId="0">
      <sharedItems/>
    </cacheField>
    <cacheField name="Frm" numFmtId="0">
      <sharedItems containsBlank="1"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43">
      <sharedItems containsString="0" containsBlank="1" containsNumber="1" minValue="3368.72" maxValue="4591.3" count="3">
        <m/>
        <n v="3368.72"/>
        <n v="4591.3"/>
      </sharedItems>
    </cacheField>
    <cacheField name="Cons. GB5" numFmtId="166">
      <sharedItems containsString="0" containsBlank="1" containsNumber="1" containsInteger="1" minValue="1209" maxValue="2133" count="3">
        <m/>
        <n v="2133"/>
        <n v="1209"/>
      </sharedItems>
    </cacheField>
    <cacheField name="Dur. GB5" numFmtId="43">
      <sharedItems containsString="0" containsBlank="1" containsNumber="1" minValue="139.15" maxValue="180.18"/>
    </cacheField>
    <cacheField name="PES CB23ST" numFmtId="0">
      <sharedItems containsString="0" containsBlank="1" containsNumber="1" minValue="16.690000000000001" maxValue="860.7" count="125">
        <n v="143.16999999999999"/>
        <n v="45.76"/>
        <n v="127.76"/>
        <n v="55.41"/>
        <n v="153.88"/>
        <n v="51.8"/>
        <n v="137.88"/>
        <n v="52.94"/>
        <n v="111.79"/>
        <n v="165.09"/>
        <n v="88.24"/>
        <n v="146.74"/>
        <n v="173.7"/>
        <n v="133.62"/>
        <n v="59"/>
        <n v="169.55"/>
        <n v="31.1"/>
        <n v="55.08"/>
        <n v="41.55"/>
        <n v="60.29"/>
        <n v="62.61"/>
        <n v="63.92"/>
        <n v="17.45"/>
        <n v="172.46"/>
        <n v="63.04"/>
        <n v="59.97"/>
        <n v="164.2"/>
        <n v="55.06"/>
        <n v="186.38"/>
        <n v="216.08"/>
        <n v="60.14"/>
        <n v="75.569999999999993"/>
        <n v="52.3"/>
        <n v="26.38"/>
        <n v="57.13"/>
        <n v="83.49"/>
        <n v="16.690000000000001"/>
        <n v="68.06"/>
        <n v="58.25"/>
        <n v="54.74"/>
        <n v="61.55"/>
        <n v="168.79"/>
        <n v="74.44"/>
        <n v="158.59"/>
        <n v="58.15"/>
        <n v="90.06"/>
        <n v="101.29"/>
        <n v="147.36000000000001"/>
        <n v="69.31"/>
        <n v="82.88"/>
        <n v="107.39"/>
        <n v="40.92"/>
        <n v="91.97"/>
        <n v="104.65"/>
        <n v="35.72"/>
        <n v="58.95"/>
        <n v="41.74"/>
        <n v="37.380000000000003"/>
        <n v="43.45"/>
        <n v="28.37"/>
        <n v="112.03"/>
        <n v="54.07"/>
        <n v="256"/>
        <n v="77.22"/>
        <n v="180.54"/>
        <n v="147.47999999999999"/>
        <n v="35.340000000000003"/>
        <n v="144.37"/>
        <n v="111.07"/>
        <n v="50.22"/>
        <n v="78.09"/>
        <n v="190"/>
        <n v="126.49"/>
        <n v="94.92"/>
        <n v="210.66"/>
        <n v="78.38"/>
        <n v="95.02"/>
        <n v="65.849999999999994"/>
        <n v="188.44"/>
        <n v="155.84"/>
        <n v="83.47"/>
        <n v="83.97"/>
        <n v="106.64"/>
        <n v="75.87"/>
        <n v="26.63"/>
        <n v="89.89"/>
        <n v="94.33"/>
        <n v="71.430000000000007"/>
        <n v="40.93"/>
        <n v="101.48"/>
        <n v="132.33000000000001"/>
        <n v="860.7"/>
        <n v="127.66"/>
        <n v="177.67"/>
        <n v="297.27408581529943"/>
        <n v="146.91"/>
        <n v="149.12"/>
        <n v="148.72"/>
        <n v="145.66"/>
        <n v="151.91999999999999"/>
        <n v="205.28"/>
        <n v="219.51"/>
        <n v="171.78"/>
        <n v="95.3"/>
        <n v="185.72"/>
        <n v="221.41"/>
        <n v="151.38999999999999"/>
        <n v="123.05"/>
        <n v="117.05"/>
        <n v="117.28"/>
        <n v="245.16"/>
        <n v="139.27000000000001"/>
        <n v="140.1"/>
        <n v="56.38"/>
        <n v="37.9"/>
        <n v="201.7"/>
        <n v="190.98"/>
        <n v="196.33"/>
        <n v="201.69"/>
        <n v="166.98"/>
        <n v="101.43"/>
        <n v="163.87"/>
        <n v="178"/>
        <n v="185.54"/>
        <m/>
      </sharedItems>
    </cacheField>
    <cacheField name="Cons. CB23ST" numFmtId="166">
      <sharedItems containsString="0" containsBlank="1" containsNumber="1" minValue="2101" maxValue="55373" count="125">
        <n v="10432"/>
        <n v="32112"/>
        <n v="9839"/>
        <n v="35920"/>
        <n v="10352"/>
        <n v="30057"/>
        <n v="10396"/>
        <n v="37274"/>
        <n v="6239"/>
        <n v="10936"/>
        <n v="11657"/>
        <n v="10450"/>
        <n v="9122"/>
        <n v="10168"/>
        <n v="33870"/>
        <n v="10364"/>
        <n v="32204"/>
        <n v="23918"/>
        <n v="45942"/>
        <n v="33002"/>
        <n v="32182"/>
        <n v="30783"/>
        <n v="55373"/>
        <n v="10777"/>
        <n v="28707"/>
        <n v="33184.629999999997"/>
        <n v="9800.31"/>
        <n v="20078"/>
        <n v="7581.59"/>
        <n v="7445"/>
        <n v="24336"/>
        <n v="25543"/>
        <n v="38103"/>
        <n v="38525"/>
        <n v="34236"/>
        <n v="11096"/>
        <n v="18192"/>
        <n v="28138"/>
        <n v="27864"/>
        <n v="20650"/>
        <n v="25887"/>
        <n v="10124"/>
        <n v="26935"/>
        <n v="8278"/>
        <n v="33913"/>
        <n v="21193"/>
        <n v="15775"/>
        <n v="6619"/>
        <n v="22812"/>
        <n v="19421.07"/>
        <n v="10395"/>
        <n v="24128.5"/>
        <n v="9072"/>
        <n v="13860.34"/>
        <n v="27072.99"/>
        <n v="13379.46"/>
        <n v="30535"/>
        <n v="18966"/>
        <n v="19568"/>
        <n v="30292"/>
        <n v="6987"/>
        <n v="29484.61"/>
        <n v="5293"/>
        <n v="24558"/>
        <n v="5863"/>
        <n v="12519"/>
        <n v="20603"/>
        <n v="6717"/>
        <n v="13062.5"/>
        <n v="25952"/>
        <n v="13745"/>
        <n v="7302.14"/>
        <n v="7799"/>
        <n v="20057.62"/>
        <n v="8085"/>
        <n v="23969.25"/>
        <n v="8577.2000000000007"/>
        <n v="9505"/>
        <n v="6349.88"/>
        <n v="11590"/>
        <n v="20987"/>
        <n v="23458.63"/>
        <n v="16480.22"/>
        <n v="24717.13"/>
        <n v="48597"/>
        <n v="23660.84"/>
        <n v="19142"/>
        <n v="26897"/>
        <n v="28989"/>
        <n v="20116.45"/>
        <n v="13265"/>
        <n v="2101"/>
        <n v="14109"/>
        <n v="9989"/>
        <n v="6083"/>
        <n v="16019"/>
        <n v="16620"/>
        <n v="16621"/>
        <n v="16888"/>
        <n v="16298"/>
        <n v="8876.3700000000008"/>
        <n v="8241.7099999999991"/>
        <n v="12332"/>
        <n v="25941"/>
        <n v="10028"/>
        <n v="10913"/>
        <n v="16232"/>
        <n v="20376"/>
        <n v="21111"/>
        <n v="21271"/>
        <n v="7000.34"/>
        <n v="19138.57"/>
        <n v="19028.63"/>
        <n v="29352"/>
        <n v="32110.52"/>
        <n v="13802"/>
        <n v="14623"/>
        <n v="14127"/>
        <n v="13798"/>
        <n v="10863.79"/>
        <n v="18633.27"/>
        <n v="12527"/>
        <n v="10571"/>
        <n v="8977"/>
        <m/>
      </sharedItems>
    </cacheField>
    <cacheField name="Dur. CB23ST" numFmtId="164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87.69"/>
    </cacheField>
    <cacheField name="PES CB23MT" numFmtId="165">
      <sharedItems containsString="0" containsBlank="1" containsNumber="1" minValue="35.61" maxValue="14202.83" count="125">
        <n v="2656.06"/>
        <n v="1386.39"/>
        <n v="885.22"/>
        <n v="4779.3"/>
        <n v="2637.56"/>
        <n v="2058.48"/>
        <n v="3599.63"/>
        <n v="5760.71"/>
        <n v="3815.05"/>
        <n v="3481.64"/>
        <n v="656.66"/>
        <n v="1818.77"/>
        <n v="4670.05"/>
        <n v="2586.7600000000002"/>
        <n v="5578.81"/>
        <n v="3498.15"/>
        <n v="262.60000000000002"/>
        <n v="2787.1"/>
        <n v="3983"/>
        <n v="5295.16"/>
        <n v="5945.36"/>
        <n v="4834.1899999999996"/>
        <n v="237.59"/>
        <n v="1438.78"/>
        <n v="5167.0600000000004"/>
        <n v="6103.75"/>
        <n v="4760.57"/>
        <n v="560.07000000000005"/>
        <n v="1839.93"/>
        <n v="3936.18"/>
        <n v="4414.66"/>
        <n v="4461.2299999999996"/>
        <n v="3945.77"/>
        <n v="269.61"/>
        <n v="2347.02"/>
        <n v="384.59"/>
        <n v="35.61"/>
        <n v="1876.01"/>
        <n v="739.31"/>
        <n v="336.42"/>
        <n v="925.56"/>
        <n v="3171.28"/>
        <n v="6668.05"/>
        <n v="1878.68"/>
        <n v="4388.1099999999997"/>
        <n v="1843"/>
        <n v="2569.91"/>
        <n v="1538.34"/>
        <n v="2268.8000000000002"/>
        <n v="2738.85"/>
        <n v="838.17"/>
        <n v="451.85"/>
        <n v="935.44"/>
        <n v="1370.41"/>
        <n v="447.21"/>
        <n v="184.8"/>
        <n v="768.82"/>
        <n v="177.27"/>
        <n v="458.58"/>
        <n v="226.44"/>
        <n v="388.05"/>
        <n v="1920.89"/>
        <n v="4673.21"/>
        <n v="2341.54"/>
        <n v="1709.41"/>
        <n v="2564.7600000000002"/>
        <n v="443.88"/>
        <n v="1517.62"/>
        <n v="1535"/>
        <n v="1502.87"/>
        <n v="590.89"/>
        <n v="2061.89"/>
        <n v="1216.69"/>
        <n v="2098.9899999999998"/>
        <n v="3492.77"/>
        <n v="2001.77"/>
        <n v="512.39"/>
        <n v="287.18"/>
        <n v="1513.55"/>
        <n v="1136.33"/>
        <n v="1480.21"/>
        <n v="1887.59"/>
        <n v="1485.51"/>
        <n v="1924.72"/>
        <n v="771.77"/>
        <n v="5170.32"/>
        <n v="5254.59"/>
        <n v="4236.1000000000004"/>
        <n v="260.36"/>
        <n v="9477.01"/>
        <n v="2320"/>
        <n v="5380.0754286575102"/>
        <n v="2779.74"/>
        <n v="2225.96"/>
        <n v="5753.1937416758474"/>
        <n v="3113.06"/>
        <n v="3977.92"/>
        <n v="4012.09"/>
        <n v="5553.64"/>
        <n v="5094.38"/>
        <n v="4818.3599999999997"/>
        <n v="6440.17"/>
        <n v="4214.75"/>
        <n v="8356.0499999999993"/>
        <n v="5041.29"/>
        <n v="3285.45"/>
        <n v="4444.33"/>
        <n v="6261.2"/>
        <n v="8913.74"/>
        <n v="12370.21"/>
        <n v="4928.8"/>
        <n v="11599.53"/>
        <n v="14202.83"/>
        <n v="3221.89"/>
        <n v="1006.56"/>
        <n v="6846.19"/>
        <n v="8538.84"/>
        <n v="10136.27"/>
        <n v="10676.69"/>
        <n v="5150.16"/>
        <n v="3142"/>
        <n v="3618"/>
        <n v="5024.5"/>
        <n v="4706.6000000000004"/>
        <m/>
      </sharedItems>
    </cacheField>
    <cacheField name="Cons. CB23MT" numFmtId="166">
      <sharedItems containsString="0" containsBlank="1" containsNumber="1" minValue="1507.5250000000001" maxValue="20531" count="125">
        <n v="2410"/>
        <n v="7223"/>
        <n v="3912"/>
        <n v="6242"/>
        <n v="5262"/>
        <n v="6377"/>
        <n v="2029"/>
        <n v="4507"/>
        <n v="1738"/>
        <n v="4085"/>
        <n v="4575"/>
        <n v="5785"/>
        <n v="2227"/>
        <n v="2649"/>
        <n v="4561"/>
        <n v="3831"/>
        <n v="13138"/>
        <n v="4404"/>
        <n v="5607"/>
        <n v="5633"/>
        <n v="4356"/>
        <n v="5902"/>
        <n v="20531"/>
        <n v="3774"/>
        <n v="5332"/>
        <n v="4353.5600000000004"/>
        <n v="2004.54"/>
        <n v="9308"/>
        <n v="3342.48"/>
        <n v="3010"/>
        <n v="4151"/>
        <n v="5187.88"/>
        <n v="5760"/>
        <n v="18669"/>
        <n v="7508"/>
        <n v="5226"/>
        <n v="12920"/>
        <n v="7902"/>
        <n v="12266"/>
        <n v="10055"/>
        <n v="12017"/>
        <n v="4516"/>
        <n v="4149"/>
        <n v="3886"/>
        <n v="4868"/>
        <n v="7230"/>
        <n v="5444"/>
        <n v="2529"/>
        <n v="6201"/>
        <n v="5276.69"/>
        <n v="5030"/>
        <n v="8980.59"/>
        <n v="3335"/>
        <n v="6344.53"/>
        <n v="11189.89"/>
        <n v="9015.32"/>
        <n v="11691"/>
        <n v="10172"/>
        <n v="5880"/>
        <n v="17714"/>
        <n v="4965"/>
        <n v="7361.79"/>
        <n v="2530"/>
        <n v="6777"/>
        <n v="2399"/>
        <n v="3825"/>
        <n v="6048"/>
        <n v="2129"/>
        <n v="5428.6440000000002"/>
        <n v="7620"/>
        <n v="5238"/>
        <n v="2723.7275"/>
        <n v="2588"/>
        <n v="5870.3512499999997"/>
        <n v="3775"/>
        <n v="6042"/>
        <n v="3703.3049999999998"/>
        <n v="4550"/>
        <n v="4075.1950000000002"/>
        <n v="5208"/>
        <n v="6750"/>
        <n v="8241.4330000000009"/>
        <n v="7981.25"/>
        <n v="6166.54"/>
        <n v="14692.8"/>
        <n v="4844.1812499999996"/>
        <n v="4412"/>
        <n v="5274"/>
        <n v="16486"/>
        <n v="2972.54"/>
        <n v="4838"/>
        <n v="1669.5"/>
        <n v="4800.7988888888895"/>
        <n v="5441"/>
        <n v="2431"/>
        <n v="6234"/>
        <n v="7121"/>
        <n v="7095"/>
        <n v="4469"/>
        <n v="3471"/>
        <n v="2681.15"/>
        <n v="1507.5250000000001"/>
        <n v="3495"/>
        <n v="4361"/>
        <n v="2500"/>
        <n v="5156"/>
        <n v="4821"/>
        <n v="4764"/>
        <n v="4067"/>
        <n v="2564"/>
        <n v="1557.9180000000001"/>
        <n v="3245.53"/>
        <n v="2387"/>
        <n v="6311"/>
        <n v="10507"/>
        <n v="5356"/>
        <n v="3964"/>
        <n v="2947"/>
        <n v="2361"/>
        <n v="2204.2800000000002"/>
        <n v="4836"/>
        <n v="3584"/>
        <n v="2505"/>
        <n v="1779"/>
        <m/>
      </sharedItems>
    </cacheField>
    <cacheField name="Dur. CB23MT" numFmtId="164">
      <sharedItems containsString="0" containsBlank="1" containsNumber="1" minValue="26.56" maxValue="2173.7800000000002"/>
    </cacheField>
    <cacheField name="Avg. Pwr. CB23MT" numFmtId="164">
      <sharedItems containsString="0" containsBlank="1" containsNumber="1" minValue="5.94" maxValue="201.99"/>
    </cacheField>
    <cacheField name="GraphLabel" numFmtId="0">
      <sharedItems count="314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@AC v0.7.5 [124]"/>
        <s v="R7 6850U (RMB) @AC v0.7.5 [125]"/>
        <s v="R7 5850U (CZN) @AC v0.7.5 [126]"/>
        <s v="R7 4700U (RNR) @AC [127]"/>
        <s v="R7 4700U (RNR) @Batt. [128]"/>
        <s v="i7 5775C (Broadwell) [28]" u="1"/>
        <s v="R5 3500U (Picasso) [70]" u="1"/>
        <s v="i7 9750H (Coffee Lake) [71]" u="1"/>
        <s v="R5 3500U (Picasso) [73]" u="1"/>
        <s v="R9 5950X (Vermeer) heavy UV [93]" u="1"/>
        <s v="i5 7500 (Kaby Lake) 4C/4T v0.5.1 [40]" u="1"/>
        <s v="R9 5900X (Vermeer) [88]" u="1"/>
        <s v="i9 12900K (AlderLake) @65w [102]" u="1"/>
        <s v="i9 12900K (ADL) [100]" u="1"/>
        <s v="i9 13900K @160w [119]" u="1"/>
        <s v="R5 5600X (Vermeer) [86]" u="1"/>
        <s v="R7 5800X (Vermeer) [66]" u="1"/>
        <s v="R5 5600G (Cezanne) [93]" u="1"/>
        <s v="R5 5600G (Cezanne) [96]" u="1"/>
        <s v="R7 5800H (Cezanne) [77]" u="1"/>
        <s v="AMD Ryzen 9 5900HS (Cezanne) v0.3.1 [16]" u="1"/>
        <s v="AMD Ryzen 7 4750G (Renoir) v0.3.1 [5]" u="1"/>
        <s v="i9 12900K (ADL) @125w [101]" u="1"/>
        <s v="R5 5600X (Vermeer) [46]" u="1"/>
        <s v="R7 4750U (Renoir) v0.3.1 [7]" u="1"/>
        <s v="i9 13900K (RTL) @250w [118]" u="1"/>
        <s v="R9 7900X (Raphael) [110]" u="1"/>
        <s v="i5 12500H @AC [124]" u="1"/>
        <s v="i7 1165G7 (TigerLake) [82]" u="1"/>
        <s v="i7 12700H (ADL) [105]" u="1"/>
        <s v="i9 13900K (RTL) @160w [119]" u="1"/>
        <s v="R9 7950X (Raphael) @65w [115]" u="1"/>
        <s v="R7 6800U (RMB) @12w [113]" u="1"/>
        <s v="R7 5850U (CZN) @AC [126]" u="1"/>
        <s v="R7 6850U (RMB) @AC [125]" u="1"/>
        <s v="R9 7950X (Raphael) [111]" u="1"/>
        <s v="i9 13900K @100w [120]" u="1"/>
        <s v="i5 8250U (WhiskeyLake) v0.6.0 [51]" u="1"/>
        <s v="R7 4750G (Renoir)@25W v0.3.1 [13]" u="1"/>
        <s v="R7 4750G (Renoir) @20W [27]" u="1"/>
        <s v="R5 4500U (Renoir) [29]" u="1"/>
        <s v="P Silver N6000 (JasperLake) [79]" u="1"/>
        <s v="AMD Ryzen 9 5900HS (Cezanne) v0.3.1 [9]" u="1"/>
        <s v="i5 4300U [58]" u="1"/>
        <s v="AMD Ryzen 9 5950X (Vermeer) v0.3.1 [20]" u="1"/>
        <s v="R7 PRO 5750GE (CZN) [103]" u="1"/>
        <s v="R9 7950X (Raphael) @88w PPT [112]" u="1"/>
        <s v="R5 4600H (Renoir) v0.6.0 [44]" u="1"/>
        <s v="R7 6800U (RMB) @25w [122]" u="1"/>
        <s v="TR 1900X (Whitehaven) [87]" u="1"/>
        <s v="??? v0.3.1 [23]" u="1"/>
        <s v="Apple M1 Estimate [94]" u="1"/>
        <s v="i9 12900K (AlderLake) [100]" u="1"/>
        <s v="R5 4500U (Renoir) v0.5.1 [29]" u="1"/>
        <s v="R9 5900X (Vermeer) [90]" u="1"/>
        <s v="R9 7950X (Raphael) [106]" u="1"/>
        <s v="i7 9750H (Coffee Lake) @45W [71]" u="1"/>
        <s v="i9 13900K (RTL) @65w [121]" u="1"/>
        <s v="i9 12900K (ADL) @unlimited [99]" u="1"/>
        <s v="Celeron N3450 (Apollo Lake) [37]" u="1"/>
        <s v="AMD Ryzen 9 5950X (Vermeer) v0.3.1 [15]" u="1"/>
        <s v="R5 3500U (Picasso) [48]" u="1"/>
        <s v="AMD Ryzen 7 4750U (Renoir) v0.3.1 [7]" u="1"/>
        <s v="R9 7900X (RPL) [110]" u="1"/>
        <s v="R7 5800X (Vermeer) [35]" u="1"/>
        <s v="R9 5950X (Vermeer) @4,4Ghz noSMT [89]" u="1"/>
        <s v="R7 5800H (Cezanne) [42]" u="1"/>
        <s v="R9 5950X (Vermeer)@-0,1V [25]" u="1"/>
        <s v="R7 5800X (Vermeer) [38]" u="1"/>
        <s v="R9 7950X (RPL) [111]" u="1"/>
        <s v="AMD Ryzen 7 3700X (Matisse) v0.3.1 [18]" u="1"/>
        <s v="R5 7600X (Raphael) [108]" u="1"/>
        <s v="AMD Ryzen 9 5900X (Vermeer) v0.3.1 [19]" u="1"/>
        <s v="R7 5700X (Vermeer) [123]" u="1"/>
        <s v="R9 5950X (Vermeer) @heavy UV [92]" u="1"/>
        <s v="R5 4600H (Renoir) Win11 v0.6.0 [44]" u="1"/>
        <s v="R9 5900HS (Cezanne) v0.5.0 [30]" u="1"/>
        <s v="R9 5900HS (Cezanne) v0.3.1 [10]" u="1"/>
        <s v="i7 8700k (Coffee Lake) @5Ghz [41]" u="1"/>
        <s v="R9 5900HS (Cezanne) v0.3.1 [16]" u="1"/>
        <s v="R5 5600G (CZN) [93]" u="1"/>
        <s v="R9 7950X (RPL) [106]" u="1"/>
        <s v="R5 5600G (CZN) [96]" u="1"/>
        <s v="i7 2600K (Sandy Bridge) @4,4Ghz [34]" u="1"/>
        <s v="Celeron N5100 (JasperLake) [80]" u="1"/>
        <s v="i5 12600K (ADL) [98]" u="1"/>
        <s v="R7 5800H (Cezanne) v0.5.1 [42]" u="1"/>
        <s v="R7 2700X (Pinnacle Ridge) [72]" u="1"/>
        <s v="i7 11700K (RKL) [84]" u="1"/>
        <s v="R5 7600X (RPL) [108]" u="1"/>
        <s v="i7 9750H (Coffee Lake) @55W;-140mV v0.6.0 [56]" u="1"/>
        <s v="i9 13900K (RaptorLake) @160w [119]" u="1"/>
        <s v="R9 7950X (RPL) @142w [114]" u="1"/>
        <s v="R9 5900HS (Cezanne) @ESM v0.3.1 [9]" u="1"/>
        <s v="i7 7500U (Kaby Lake) [36]" u="1"/>
        <s v="i9 13900K (RTL) @100w [120]" u="1"/>
        <s v="R9 7950X (RPL) @88w [112]" u="1"/>
        <s v="i9 13900K @250w [118]" u="1"/>
        <s v="R9 7950X (Raphael) @142w [114]" u="1"/>
        <s v="R5 4500U (Renoir) [74]" u="1"/>
        <s v="i9 13900K (RaptorLake) @250w [118]" u="1"/>
        <s v="R5 PRO 4650G (Renoir) v0.3.1 [12]" u="1"/>
        <s v="i5 11400F (RKL) @-95mV [85]" u="1"/>
        <s v="i7 3770K (Ivy Bridge) [57]" u="1"/>
        <s v="R9 5900HS (Cezanne) @ESM v0.6.0 [65]" u="1"/>
        <s v="R9 7950X (Raphael) @88w [112]" u="1"/>
        <s v="R9 7950X (RPL) @88w [115]" u="1"/>
        <s v="i5 8250U (WhiskeyLake) [51]" u="1"/>
        <s v="i7 11700K (Rocket Lake) [84]" u="1"/>
        <s v="i7 4800MQ (Haswell) [52]" u="1"/>
        <s v="R3 4300G (RNR) [81]" u="1"/>
        <s v="R5 3500U (Picasso) [53]" u="1"/>
        <s v="R7 4700U (Renoir) v0.3.1 [14]" u="1"/>
        <s v="i7 9750H (CFL) [71]" u="1"/>
        <s v="R9 5950X (Vermeer) [21]" u="1"/>
        <s v="R9 5950X (Vermeer) [22]" u="1"/>
        <s v="R7 4700U (RNR) [1]" u="1"/>
        <s v="R9 5950X (Vermeer) [26]" u="1"/>
        <s v="i5 8600k (Coffee Lake) [39]" u="1"/>
        <s v="AMD Ryzen 7 4700U (Renoir) [1]" u="1"/>
        <s v="R7 3700X (Matisse) [47]" u="1"/>
        <s v="i5 12600K (AlderLake) [98]" u="1"/>
        <s v="R7 4750G (Renoir) @25W v0.3.1 [13]" u="1"/>
        <s v="R9 7950X (Raphael) @105w [114]" u="1"/>
        <s v="Intel i7 1065G (IceLake) v0.3.1 [3]" u="1"/>
        <s v="i9 12900K (AlderLake) @241w [100]" u="1"/>
        <s v="i7 9750H (Coffee Lake) @55W;-140mV [56]" u="1"/>
        <s v="i5 7500 (Kaby Lake) 4C/4T [40]" u="1"/>
        <s v="R7 6850H (Rembrandt) [107]" u="1"/>
        <s v="R9 7950X (Raphael) @88w [115]" u="1"/>
        <s v="i5 11500 (RKL) [83]" u="1"/>
        <s v="R7 4750G (Renoir) @20W v0.5.1 [27]" u="1"/>
        <s v="R7 6800U (Rembrandt) [113]" u="1"/>
        <s v="AMD Ryzen 3 1200 (Summit Ridge) v0.3.1 [17]" u="1"/>
        <s v="R7 5800H (CZN) [77]" u="1"/>
        <s v="i7 7500U (Kaby Lake) 2C/4T v0.5.1 [36]" u="1"/>
        <s v="i9 12900K (AlderLake) @125w [101]" u="1"/>
        <s v="i5 8600k (Coffee Lake) v0.5.1 [39]" u="1"/>
        <s v="AMD Ryzen 5 3600 (Matisse) v0.3.1 [2]" u="1"/>
        <s v="i5 8365U (WhiskeyLake) v0.3.1 [11]" u="1"/>
        <s v="R7 4700U (Renoir) v0.5.1 [1]" u="1"/>
        <s v="R7 4700U (Renoir) [1]" u="1"/>
        <s v="i7 11800H (TigerLake-8C) [95]" u="1"/>
        <s v="R5 4600H (Renoir) Win11 [44]" u="1"/>
        <s v="i5 4690k (Haswell) [91]" u="1"/>
        <s v="R7 PRO 5750GE (Cezanne) [103]" u="1"/>
        <s v="Intel Core i5-8365U (WhiskeyLake) v0.3.1 [11]" u="1"/>
        <s v="i5 4300U (Haswell) [58]" u="1"/>
        <s v="i9 12900K (ADL) @65w [102]" u="1"/>
        <s v="R3 4300G (Renoir) [81]" u="1"/>
        <s v="R9 7950X (Raphael) 0.7.5 [106]" u="1"/>
        <s v="i5 11500 (Rocket Lake) [83]" u="1"/>
        <s v="R7 1800X(Summit Ridge) [117]" u="1"/>
        <s v="i7 12700H (AlderLake) [105]" u="1"/>
        <s v="R7 5900X (Vermeer) @95W [45]" u="1"/>
        <s v="R5 3500U (Picasso) [69]" u="1"/>
        <s v="R9 5900X (Vermeer) [31]" u="1"/>
        <s v="R9 5900X (Vermeer) [32]" u="1"/>
        <s v="AMD Ryzen 5 PRO 4650G (Renoir) v0.3.1 [12]" u="1"/>
        <s v="R9 5900X (Vermeer) [33]" u="1"/>
        <s v="R5 5600X (Vermeer) [76]" u="1"/>
        <s v="R5 5600X (Vermeer) [78]" u="1"/>
        <s v="i9 13900K (RaptorLake) @100w [120]" u="1"/>
        <s v="AMD Ryzen 7 4750G (Renoir) v0.3.1 [13]" u="1"/>
        <s v="AMD Ryzen 7 4700U (Renoir) v0.3.1 [14]" u="1"/>
        <s v="R7 6800U (RMB) [122]" u="1"/>
        <s v="R7 3700X (Matisse) @PBO [50]" u="1"/>
        <s v="R7 6800U (RMB) [113]" u="1"/>
        <s v="R7 PRO 5750GE (CZN) @15w [104]" u="1"/>
        <s v="R9 3900X (Matisse) [116]" u="1"/>
        <s v="i7 8700k (Coffee Lake) @5Ghz v0.5.1 [41]" u="1"/>
        <s v="R7 7700X (Raphael) [109]" u="1"/>
        <s v="i9 13900K (RaptorLake) @65w [121]" u="1"/>
        <s v="i5 11400F (Rocket Lake) @-95mV [85]" u="1"/>
        <s v="R7 5900X (Vermeer) @95W v0.6.0 [45]" u="1"/>
        <s v="R7 6850H (RMB) [107]" u="1"/>
        <s v="Apple M1 Max Estimate [97]" u="1"/>
        <s v="R9 5950X (Vermeer) heavy UV [92]" u="1"/>
        <s v="R5 4500U (RNR) [74]" u="1"/>
        <s v="AMD Ryzen 9 5950X (Vermeer) v0.3.1 [4]" u="1"/>
        <s v="AMD Ryzen 7 3700X (Matisse) v0.3.1 [6]" u="1"/>
        <s v="R5 2500U (Raven Ridge) [75]" u="1"/>
        <s v="AMD Ryzen 9 5950X (Vermeer) v0.3.1 [8]" u="1"/>
        <s v="R7 PRO 5750GE (Cezanne) @15w [104]" u="1"/>
        <s v="R9 5900HS (Cezanne)@ESM v0.3.1 [9]" u="1"/>
        <s v="R7 4750G (Renoir) v0.3.1 [5]" u="1"/>
        <s v="R7 7700X (RPL) [109]" u="1"/>
        <s v="i9 12900K (AlderLake) @unlimited [99]" u="1"/>
        <s v="i7 1165G7 (TigerLake) [24]" u="1"/>
        <s v="R7 3700X (Matisse) @95W [49]" u="1"/>
        <s v="R5 3500U (Picasso) Golden Sample? [67]" u="1"/>
        <s v="i7 7500U (Kaby Lake) 2C/4T [36]" u="1"/>
        <s v="AMD Ryzen 9 5900HS (Cezanne) v0.3.1 [10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s v="v0.7.0"/>
    <s v="3DC"/>
    <n v="3"/>
    <s v="R7 4700U (RNR)"/>
    <s v="CrazyIvan"/>
    <s v="AC / Win: Best Perf. / HP: Recmd."/>
    <m/>
    <x v="0"/>
    <x v="0"/>
    <x v="0"/>
    <m/>
    <x v="0"/>
    <x v="0"/>
    <n v="669.57"/>
    <n v="15.58"/>
    <x v="0"/>
    <x v="0"/>
    <n v="156.22"/>
    <n v="15.43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x v="0"/>
    <x v="0"/>
    <m/>
    <x v="1"/>
    <x v="1"/>
    <n v="680.5"/>
    <n v="47.188831741366641"/>
    <x v="1"/>
    <x v="1"/>
    <n v="99.861243102293088"/>
    <n v="72.330363368310003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x v="0"/>
    <x v="0"/>
    <m/>
    <x v="2"/>
    <x v="2"/>
    <n v="795.5"/>
    <n v="12.368321810182275"/>
    <x v="2"/>
    <x v="2"/>
    <n v="288.76857942815411"/>
    <n v="13.547180263680001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x v="0"/>
    <x v="0"/>
    <m/>
    <x v="3"/>
    <x v="3"/>
    <n v="502.43"/>
    <n v="71.489999999999995"/>
    <x v="3"/>
    <x v="3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x v="0"/>
    <x v="0"/>
    <m/>
    <x v="4"/>
    <x v="4"/>
    <n v="627.79999999999995"/>
    <n v="16.489327811404909"/>
    <x v="4"/>
    <x v="4"/>
    <n v="72.052127420048677"/>
    <n v="73.030459868639994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x v="0"/>
    <x v="0"/>
    <m/>
    <x v="5"/>
    <x v="5"/>
    <n v="642.29999999999995"/>
    <n v="46.795889771134988"/>
    <x v="5"/>
    <x v="5"/>
    <n v="76.179291851563704"/>
    <n v="83.710413223920014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x v="0"/>
    <x v="0"/>
    <m/>
    <x v="6"/>
    <x v="6"/>
    <n v="697.6"/>
    <n v="14.902522935779816"/>
    <x v="6"/>
    <x v="6"/>
    <n v="136.91785613358184"/>
    <n v="14.819104368830001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x v="0"/>
    <x v="0"/>
    <m/>
    <x v="7"/>
    <x v="7"/>
    <n v="506.76902536093161"/>
    <n v="73.552245963439987"/>
    <x v="7"/>
    <x v="7"/>
    <n v="38.515578825808959"/>
    <n v="117.01758450478999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x v="0"/>
    <x v="0"/>
    <m/>
    <x v="8"/>
    <x v="8"/>
    <n v="1433.91"/>
    <n v="4.3499999999999996"/>
    <x v="8"/>
    <x v="8"/>
    <n v="150.85"/>
    <n v="11.52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x v="0"/>
    <x v="0"/>
    <m/>
    <x v="9"/>
    <x v="9"/>
    <n v="553.86"/>
    <n v="19.75"/>
    <x v="9"/>
    <x v="9"/>
    <n v="70.3"/>
    <n v="58.11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x v="0"/>
    <x v="0"/>
    <m/>
    <x v="10"/>
    <x v="10"/>
    <n v="972.15"/>
    <n v="11.99"/>
    <x v="10"/>
    <x v="10"/>
    <n v="332.85"/>
    <n v="13.75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x v="0"/>
    <x v="0"/>
    <m/>
    <x v="11"/>
    <x v="11"/>
    <n v="653.125"/>
    <n v="16.03"/>
    <x v="11"/>
    <x v="11"/>
    <n v="95.05"/>
    <n v="60.86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x v="0"/>
    <x v="0"/>
    <m/>
    <x v="12"/>
    <x v="12"/>
    <n v="631.12"/>
    <n v="14.45"/>
    <x v="12"/>
    <x v="12"/>
    <n v="96.17"/>
    <n v="23.15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x v="0"/>
    <x v="0"/>
    <m/>
    <x v="13"/>
    <x v="13"/>
    <n v="736"/>
    <n v="13.8"/>
    <x v="13"/>
    <x v="13"/>
    <n v="145.93582077670885"/>
    <n v="18.151814858759998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x v="0"/>
    <x v="0"/>
    <m/>
    <x v="14"/>
    <x v="14"/>
    <n v="500.42"/>
    <n v="67.680000000000007"/>
    <x v="14"/>
    <x v="14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x v="0"/>
    <x v="0"/>
    <m/>
    <x v="15"/>
    <x v="15"/>
    <n v="569.12"/>
    <n v="18.21"/>
    <x v="15"/>
    <x v="15"/>
    <n v="74.63"/>
    <n v="51.33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x v="0"/>
    <x v="0"/>
    <m/>
    <x v="16"/>
    <x v="16"/>
    <n v="998.38"/>
    <n v="32.26"/>
    <x v="16"/>
    <x v="16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x v="0"/>
    <x v="0"/>
    <m/>
    <x v="17"/>
    <x v="17"/>
    <n v="759.07"/>
    <n v="31.51"/>
    <x v="17"/>
    <x v="17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x v="0"/>
    <x v="0"/>
    <m/>
    <x v="18"/>
    <x v="18"/>
    <n v="523.91"/>
    <n v="87.69"/>
    <x v="18"/>
    <x v="18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x v="0"/>
    <x v="0"/>
    <m/>
    <x v="19"/>
    <x v="19"/>
    <n v="502.56"/>
    <n v="65.67"/>
    <x v="19"/>
    <x v="19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x v="0"/>
    <x v="0"/>
    <m/>
    <x v="20"/>
    <x v="20"/>
    <n v="496.32"/>
    <n v="64.84"/>
    <x v="20"/>
    <x v="20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x v="0"/>
    <x v="0"/>
    <m/>
    <x v="21"/>
    <x v="21"/>
    <n v="508.2"/>
    <n v="60.57"/>
    <x v="21"/>
    <x v="21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x v="0"/>
    <x v="0"/>
    <m/>
    <x v="22"/>
    <x v="22"/>
    <n v="1034.6400000000001"/>
    <n v="53.52"/>
    <x v="22"/>
    <x v="22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x v="0"/>
    <x v="0"/>
    <m/>
    <x v="23"/>
    <x v="23"/>
    <n v="538.05999999999995"/>
    <n v="20.03"/>
    <x v="23"/>
    <x v="23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x v="0"/>
    <x v="0"/>
    <m/>
    <x v="24"/>
    <x v="24"/>
    <n v="552.55999999999995"/>
    <n v="51.95"/>
    <x v="24"/>
    <x v="24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x v="0"/>
    <x v="0"/>
    <m/>
    <x v="25"/>
    <x v="25"/>
    <n v="502.51"/>
    <n v="66.040000000000006"/>
    <x v="25"/>
    <x v="25"/>
    <n v="37.630000000000003"/>
    <n v="115.69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x v="0"/>
    <x v="0"/>
    <m/>
    <x v="26"/>
    <x v="26"/>
    <n v="621.42999999999995"/>
    <n v="15.77"/>
    <x v="26"/>
    <x v="26"/>
    <n v="104.79"/>
    <n v="19.13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x v="0"/>
    <x v="0"/>
    <m/>
    <x v="27"/>
    <x v="27"/>
    <n v="904.59"/>
    <n v="22.2"/>
    <x v="27"/>
    <x v="27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x v="0"/>
    <x v="0"/>
    <m/>
    <x v="28"/>
    <x v="28"/>
    <n v="707.68"/>
    <n v="10.71"/>
    <x v="28"/>
    <x v="28"/>
    <n v="162.6"/>
    <n v="20.56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x v="0"/>
    <x v="0"/>
    <m/>
    <x v="29"/>
    <x v="29"/>
    <n v="621.65"/>
    <n v="11.98"/>
    <x v="29"/>
    <x v="29"/>
    <n v="84.41"/>
    <n v="35.659999999999997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x v="0"/>
    <x v="0"/>
    <m/>
    <x v="30"/>
    <x v="30"/>
    <n v="683.23"/>
    <n v="35.619999999999997"/>
    <x v="30"/>
    <x v="30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x v="0"/>
    <x v="0"/>
    <m/>
    <x v="31"/>
    <x v="31"/>
    <n v="518.05999999999995"/>
    <n v="49.31"/>
    <x v="31"/>
    <x v="31"/>
    <n v="43.21"/>
    <n v="120.07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x v="0"/>
    <x v="0"/>
    <m/>
    <x v="32"/>
    <x v="32"/>
    <n v="501.84"/>
    <n v="75.930000000000007"/>
    <x v="32"/>
    <x v="32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x v="0"/>
    <x v="0"/>
    <m/>
    <x v="33"/>
    <x v="33"/>
    <n v="983.86"/>
    <n v="39.159999999999997"/>
    <x v="33"/>
    <x v="33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x v="0"/>
    <x v="0"/>
    <m/>
    <x v="34"/>
    <x v="34"/>
    <n v="511.24"/>
    <n v="66.97"/>
    <x v="34"/>
    <x v="34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x v="0"/>
    <x v="0"/>
    <m/>
    <x v="35"/>
    <x v="35"/>
    <n v="1079.3699999999999"/>
    <n v="10.28"/>
    <x v="35"/>
    <x v="35"/>
    <n v="497.55"/>
    <n v="10.5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x v="0"/>
    <x v="0"/>
    <m/>
    <x v="36"/>
    <x v="36"/>
    <n v="3293.49"/>
    <n v="5.52"/>
    <x v="36"/>
    <x v="36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x v="0"/>
    <x v="0"/>
    <m/>
    <x v="37"/>
    <x v="37"/>
    <n v="522.16999999999996"/>
    <n v="53.89"/>
    <x v="37"/>
    <x v="37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x v="0"/>
    <x v="0"/>
    <m/>
    <x v="38"/>
    <x v="38"/>
    <n v="616.08000000000004"/>
    <n v="45.23"/>
    <x v="38"/>
    <x v="38"/>
    <n v="110.27"/>
    <n v="111.24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x v="0"/>
    <x v="0"/>
    <m/>
    <x v="39"/>
    <x v="39"/>
    <n v="884.67"/>
    <n v="23.34"/>
    <x v="39"/>
    <x v="39"/>
    <n v="295.61"/>
    <n v="34.020000000000003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x v="0"/>
    <x v="0"/>
    <m/>
    <x v="40"/>
    <x v="40"/>
    <n v="627.62"/>
    <n v="41.25"/>
    <x v="40"/>
    <x v="40"/>
    <n v="89.91"/>
    <n v="133.65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x v="0"/>
    <x v="0"/>
    <m/>
    <x v="41"/>
    <x v="41"/>
    <n v="585.17999999999995"/>
    <n v="17.3"/>
    <x v="41"/>
    <x v="41"/>
    <n v="69.83"/>
    <n v="64.67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x v="0"/>
    <x v="0"/>
    <m/>
    <x v="42"/>
    <x v="42"/>
    <n v="498.76"/>
    <n v="54"/>
    <x v="42"/>
    <x v="42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x v="0"/>
    <x v="0"/>
    <m/>
    <x v="43"/>
    <x v="43"/>
    <n v="761.74"/>
    <n v="10.87"/>
    <x v="43"/>
    <x v="43"/>
    <n v="136.99"/>
    <n v="28.36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x v="0"/>
    <x v="0"/>
    <m/>
    <x v="44"/>
    <x v="44"/>
    <n v="507.07"/>
    <n v="66.88"/>
    <x v="44"/>
    <x v="44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x v="0"/>
    <x v="0"/>
    <m/>
    <x v="45"/>
    <x v="45"/>
    <n v="523.91999999999996"/>
    <n v="40.450000000000003"/>
    <x v="45"/>
    <x v="45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x v="0"/>
    <x v="0"/>
    <m/>
    <x v="46"/>
    <x v="46"/>
    <n v="625.84"/>
    <n v="25.21"/>
    <x v="46"/>
    <x v="46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x v="0"/>
    <x v="0"/>
    <m/>
    <x v="47"/>
    <x v="47"/>
    <n v="1025.22"/>
    <n v="6.46"/>
    <x v="47"/>
    <x v="47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x v="0"/>
    <x v="0"/>
    <m/>
    <x v="48"/>
    <x v="48"/>
    <n v="632.5"/>
    <n v="36.07"/>
    <x v="48"/>
    <x v="48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x v="0"/>
    <x v="0"/>
    <m/>
    <x v="49"/>
    <x v="49"/>
    <n v="621.27"/>
    <n v="31.26"/>
    <x v="49"/>
    <x v="49"/>
    <n v="69.19"/>
    <n v="76.260000000000005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x v="0"/>
    <x v="0"/>
    <m/>
    <x v="50"/>
    <x v="50"/>
    <n v="895.74"/>
    <n v="11.63"/>
    <x v="50"/>
    <x v="50"/>
    <n v="237.2"/>
    <n v="21.21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x v="0"/>
    <x v="0"/>
    <m/>
    <x v="51"/>
    <x v="51"/>
    <n v="1012.91"/>
    <n v="23.82"/>
    <x v="51"/>
    <x v="51"/>
    <n v="246.44"/>
    <n v="36.44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x v="0"/>
    <x v="0"/>
    <m/>
    <x v="52"/>
    <x v="52"/>
    <n v="1198.55"/>
    <n v="7.57"/>
    <x v="52"/>
    <x v="52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x v="0"/>
    <x v="0"/>
    <m/>
    <x v="53"/>
    <x v="53"/>
    <n v="689.41"/>
    <n v="20.100000000000001"/>
    <x v="53"/>
    <x v="53"/>
    <n v="115.01"/>
    <n v="55.16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x v="0"/>
    <x v="0"/>
    <m/>
    <x v="54"/>
    <x v="54"/>
    <n v="1034.0899999999999"/>
    <n v="26.28"/>
    <x v="54"/>
    <x v="54"/>
    <n v="199.83"/>
    <n v="56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x v="0"/>
    <x v="0"/>
    <m/>
    <x v="55"/>
    <x v="55"/>
    <n v="1267.9000000000001"/>
    <n v="10.55"/>
    <x v="55"/>
    <x v="55"/>
    <n v="600.22"/>
    <n v="15.02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x v="0"/>
    <x v="0"/>
    <m/>
    <x v="56"/>
    <x v="56"/>
    <n v="784.57"/>
    <n v="38.92"/>
    <x v="56"/>
    <x v="56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x v="0"/>
    <x v="0"/>
    <m/>
    <x v="57"/>
    <x v="57"/>
    <n v="1410.7"/>
    <n v="13.44"/>
    <x v="57"/>
    <x v="57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x v="0"/>
    <x v="0"/>
    <m/>
    <x v="58"/>
    <x v="58"/>
    <n v="1239.32"/>
    <n v="14.98"/>
    <x v="58"/>
    <x v="58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x v="0"/>
    <x v="0"/>
    <m/>
    <x v="59"/>
    <x v="59"/>
    <n v="1163.82"/>
    <n v="26.03"/>
    <x v="59"/>
    <x v="59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x v="0"/>
    <x v="0"/>
    <m/>
    <x v="60"/>
    <x v="60"/>
    <n v="1277.45"/>
    <n v="5.47"/>
    <x v="60"/>
    <x v="60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x v="0"/>
    <x v="0"/>
    <m/>
    <x v="61"/>
    <x v="61"/>
    <n v="627.24"/>
    <n v="47.01"/>
    <x v="61"/>
    <x v="61"/>
    <n v="70.72"/>
    <n v="104.1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x v="0"/>
    <x v="0"/>
    <m/>
    <x v="62"/>
    <x v="62"/>
    <n v="737.97"/>
    <n v="7.17"/>
    <x v="62"/>
    <x v="62"/>
    <n v="84.58"/>
    <n v="29.91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x v="0"/>
    <x v="0"/>
    <m/>
    <x v="63"/>
    <x v="63"/>
    <n v="527.33000000000004"/>
    <n v="46.57"/>
    <x v="63"/>
    <x v="63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x v="0"/>
    <x v="0"/>
    <m/>
    <x v="64"/>
    <x v="64"/>
    <n v="944.68"/>
    <n v="6.21"/>
    <x v="64"/>
    <x v="64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x v="0"/>
    <x v="0"/>
    <m/>
    <x v="65"/>
    <x v="65"/>
    <n v="541.62"/>
    <n v="23.11"/>
    <x v="65"/>
    <x v="6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x v="0"/>
    <x v="0"/>
    <m/>
    <x v="66"/>
    <x v="66"/>
    <n v="1373.38"/>
    <n v="15"/>
    <x v="66"/>
    <x v="66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x v="0"/>
    <x v="0"/>
    <m/>
    <x v="67"/>
    <x v="67"/>
    <n v="1031.19"/>
    <n v="6.51"/>
    <x v="67"/>
    <x v="67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x v="0"/>
    <x v="0"/>
    <m/>
    <x v="68"/>
    <x v="68"/>
    <n v="689.24"/>
    <n v="18.95"/>
    <x v="68"/>
    <x v="68"/>
    <n v="120"/>
    <n v="45.24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x v="0"/>
    <x v="0"/>
    <m/>
    <x v="69"/>
    <x v="69"/>
    <n v="767.28"/>
    <n v="33.82"/>
    <x v="69"/>
    <x v="69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x v="0"/>
    <x v="0"/>
    <m/>
    <x v="70"/>
    <x v="70"/>
    <n v="931.73"/>
    <n v="14.75"/>
    <x v="70"/>
    <x v="70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x v="0"/>
    <x v="0"/>
    <m/>
    <x v="71"/>
    <x v="71"/>
    <n v="720.78"/>
    <n v="10.130000000000001"/>
    <x v="71"/>
    <x v="71"/>
    <n v="178.0625"/>
    <n v="15.3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x v="0"/>
    <x v="0"/>
    <m/>
    <x v="72"/>
    <x v="72"/>
    <n v="1013.61"/>
    <n v="7.69"/>
    <x v="72"/>
    <x v="72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x v="0"/>
    <x v="0"/>
    <m/>
    <x v="73"/>
    <x v="73"/>
    <n v="525.22"/>
    <n v="38.19"/>
    <x v="73"/>
    <x v="73"/>
    <n v="81.157499999999999"/>
    <n v="72.33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x v="0"/>
    <x v="0"/>
    <m/>
    <x v="74"/>
    <x v="74"/>
    <n v="587.17999999999995"/>
    <n v="13.77"/>
    <x v="74"/>
    <x v="74"/>
    <n v="75.84"/>
    <n v="49.77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x v="0"/>
    <x v="0"/>
    <m/>
    <x v="75"/>
    <x v="75"/>
    <n v="532.30999999999995"/>
    <n v="45.03"/>
    <x v="75"/>
    <x v="75"/>
    <n v="82.7"/>
    <n v="73.08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x v="0"/>
    <x v="0"/>
    <m/>
    <x v="76"/>
    <x v="76"/>
    <n v="1227"/>
    <n v="6.99"/>
    <x v="76"/>
    <x v="76"/>
    <n v="527"/>
    <n v="7.03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x v="0"/>
    <x v="0"/>
    <m/>
    <x v="77"/>
    <x v="77"/>
    <n v="1597.64"/>
    <n v="5.95"/>
    <x v="77"/>
    <x v="77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x v="0"/>
    <x v="0"/>
    <m/>
    <x v="78"/>
    <x v="78"/>
    <n v="835.72"/>
    <n v="7.6"/>
    <x v="78"/>
    <x v="78"/>
    <n v="162.1275"/>
    <n v="25.14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x v="0"/>
    <x v="0"/>
    <m/>
    <x v="79"/>
    <x v="79"/>
    <n v="553.66999999999996"/>
    <n v="20.93"/>
    <x v="79"/>
    <x v="79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x v="0"/>
    <x v="0"/>
    <m/>
    <x v="80"/>
    <x v="80"/>
    <n v="570.83000000000004"/>
    <n v="36.770000000000003"/>
    <x v="80"/>
    <x v="80"/>
    <n v="100.09"/>
    <n v="67.44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x v="0"/>
    <x v="0"/>
    <m/>
    <x v="81"/>
    <x v="81"/>
    <n v="507.64"/>
    <n v="46.21"/>
    <x v="81"/>
    <x v="81"/>
    <n v="64.282000000000011"/>
    <n v="128.21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x v="0"/>
    <x v="0"/>
    <m/>
    <x v="82"/>
    <x v="82"/>
    <n v="568.99"/>
    <n v="28.96"/>
    <x v="82"/>
    <x v="82"/>
    <n v="84.342500000000001"/>
    <n v="94.63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x v="0"/>
    <x v="0"/>
    <m/>
    <x v="83"/>
    <x v="83"/>
    <n v="533.22"/>
    <n v="46.35"/>
    <x v="83"/>
    <x v="83"/>
    <n v="84.25"/>
    <n v="73.19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x v="0"/>
    <x v="0"/>
    <m/>
    <x v="84"/>
    <x v="84"/>
    <n v="772.61"/>
    <n v="62.9"/>
    <x v="84"/>
    <x v="84"/>
    <n v="88.2"/>
    <n v="166.6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x v="0"/>
    <x v="0"/>
    <m/>
    <x v="85"/>
    <x v="85"/>
    <n v="470.17"/>
    <n v="50.32"/>
    <x v="85"/>
    <x v="85"/>
    <n v="39.926875000000003"/>
    <n v="121.33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x v="0"/>
    <x v="0"/>
    <m/>
    <x v="86"/>
    <x v="86"/>
    <n v="553.82000000000005"/>
    <n v="34.56"/>
    <x v="86"/>
    <x v="86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x v="0"/>
    <x v="0"/>
    <m/>
    <x v="87"/>
    <x v="87"/>
    <n v="520.49"/>
    <n v="51.68"/>
    <x v="87"/>
    <x v="87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x v="0"/>
    <x v="0"/>
    <m/>
    <x v="88"/>
    <x v="88"/>
    <n v="842.74"/>
    <n v="34.4"/>
    <x v="88"/>
    <x v="88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x v="0"/>
    <x v="0"/>
    <m/>
    <x v="89"/>
    <x v="89"/>
    <n v="489.86"/>
    <n v="41.07"/>
    <x v="89"/>
    <x v="89"/>
    <n v="35.5"/>
    <n v="83.74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x v="0"/>
    <x v="0"/>
    <m/>
    <x v="90"/>
    <x v="90"/>
    <n v="569.71"/>
    <n v="23.28"/>
    <x v="90"/>
    <x v="90"/>
    <n v="89.08"/>
    <n v="54.31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x v="0"/>
    <x v="0"/>
    <m/>
    <x v="91"/>
    <x v="91"/>
    <n v="553"/>
    <n v="3.8"/>
    <x v="91"/>
    <x v="91"/>
    <n v="111.3"/>
    <n v="15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x v="0"/>
    <x v="0"/>
    <m/>
    <x v="92"/>
    <x v="92"/>
    <n v="555.16999999999996"/>
    <n v="25.41"/>
    <x v="92"/>
    <x v="92"/>
    <n v="74.934444444444438"/>
    <n v="64.069999999999993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x v="0"/>
    <x v="0"/>
    <m/>
    <x v="93"/>
    <x v="93"/>
    <n v="563.46"/>
    <n v="17.73"/>
    <x v="93"/>
    <x v="93"/>
    <n v="82.56"/>
    <n v="65.91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x v="0"/>
    <x v="0"/>
    <m/>
    <x v="94"/>
    <x v="94"/>
    <n v="553"/>
    <n v="11"/>
    <x v="94"/>
    <x v="94"/>
    <n v="71.5"/>
    <n v="34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x v="0"/>
    <x v="0"/>
    <m/>
    <x v="95"/>
    <x v="95"/>
    <n v="424.94"/>
    <n v="37.700000000000003"/>
    <x v="95"/>
    <x v="95"/>
    <n v="51.53"/>
    <n v="120.96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x v="0"/>
    <x v="0"/>
    <m/>
    <x v="96"/>
    <x v="96"/>
    <n v="403.5"/>
    <n v="41.19"/>
    <x v="96"/>
    <x v="96"/>
    <n v="35.299999999999997"/>
    <n v="201.69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x v="0"/>
    <x v="0"/>
    <m/>
    <x v="97"/>
    <x v="97"/>
    <n v="404.55"/>
    <n v="41.09"/>
    <x v="97"/>
    <x v="97"/>
    <n v="35.130000000000003"/>
    <n v="201.99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x v="0"/>
    <x v="0"/>
    <m/>
    <x v="98"/>
    <x v="98"/>
    <n v="406.52"/>
    <n v="41.54"/>
    <x v="98"/>
    <x v="98"/>
    <n v="40.29"/>
    <n v="110.94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x v="0"/>
    <x v="0"/>
    <m/>
    <x v="99"/>
    <x v="99"/>
    <n v="403.88"/>
    <n v="40.35"/>
    <x v="99"/>
    <x v="99"/>
    <n v="56.55"/>
    <n v="61.38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x v="0"/>
    <x v="0"/>
    <m/>
    <x v="100"/>
    <x v="100"/>
    <n v="548.82000000000005"/>
    <n v="16.170000000000002"/>
    <x v="100"/>
    <x v="100"/>
    <n v="77.41"/>
    <n v="34.64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x v="0"/>
    <x v="0"/>
    <m/>
    <x v="101"/>
    <x v="101"/>
    <n v="552.75"/>
    <n v="14.91"/>
    <x v="101"/>
    <x v="101"/>
    <n v="103"/>
    <n v="14.64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x v="0"/>
    <x v="0"/>
    <m/>
    <x v="102"/>
    <x v="102"/>
    <n v="472.06"/>
    <n v="26.12"/>
    <x v="102"/>
    <x v="102"/>
    <n v="67.89"/>
    <n v="51.48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x v="0"/>
    <x v="0"/>
    <m/>
    <x v="103"/>
    <x v="103"/>
    <n v="404.49"/>
    <n v="64.13"/>
    <x v="103"/>
    <x v="103"/>
    <n v="27.44"/>
    <n v="158.94999999999999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x v="0"/>
    <x v="0"/>
    <m/>
    <x v="104"/>
    <x v="104"/>
    <n v="536.96"/>
    <n v="18.670000000000002"/>
    <x v="104"/>
    <x v="104"/>
    <n v="79.349999999999994"/>
    <n v="31.5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x v="0"/>
    <x v="0"/>
    <m/>
    <x v="105"/>
    <x v="105"/>
    <n v="413.88"/>
    <n v="26.37"/>
    <x v="105"/>
    <x v="105"/>
    <n v="59.03"/>
    <n v="87.36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x v="0"/>
    <x v="0"/>
    <m/>
    <x v="106"/>
    <x v="106"/>
    <n v="406.94"/>
    <n v="39.89"/>
    <x v="106"/>
    <x v="106"/>
    <n v="46.68"/>
    <n v="103.28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x v="0"/>
    <x v="0"/>
    <m/>
    <x v="107"/>
    <x v="107"/>
    <n v="398.83"/>
    <n v="51.09"/>
    <x v="107"/>
    <x v="107"/>
    <n v="33.520000000000003"/>
    <n v="142.12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x v="0"/>
    <x v="0"/>
    <m/>
    <x v="108"/>
    <x v="108"/>
    <n v="404.69"/>
    <n v="52.17"/>
    <x v="108"/>
    <x v="108"/>
    <n v="27.59"/>
    <n v="147.41999999999999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x v="0"/>
    <x v="0"/>
    <m/>
    <x v="109"/>
    <x v="109"/>
    <n v="400.87"/>
    <n v="53.06"/>
    <x v="109"/>
    <x v="109"/>
    <n v="31.53"/>
    <n v="81.290000000000006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x v="0"/>
    <x v="0"/>
    <m/>
    <x v="110"/>
    <x v="110"/>
    <n v="582.69000000000005"/>
    <n v="12.01"/>
    <x v="110"/>
    <x v="110"/>
    <n v="130.22999999999999"/>
    <n v="11.96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x v="0"/>
    <x v="0"/>
    <m/>
    <x v="111"/>
    <x v="111"/>
    <n v="375.18"/>
    <n v="51.01"/>
    <x v="111"/>
    <x v="111"/>
    <n v="26.56"/>
    <n v="122.18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x v="0"/>
    <x v="0"/>
    <m/>
    <x v="112"/>
    <x v="112"/>
    <n v="375.1"/>
    <n v="50.73"/>
    <x v="112"/>
    <x v="112"/>
    <n v="29.49"/>
    <n v="80.930000000000007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x v="0"/>
    <x v="0"/>
    <m/>
    <x v="113"/>
    <x v="113"/>
    <n v="604.24"/>
    <n v="48.58"/>
    <x v="113"/>
    <x v="113"/>
    <n v="49.18"/>
    <n v="128.31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x v="0"/>
    <x v="0"/>
    <m/>
    <x v="114"/>
    <x v="114"/>
    <n v="821.7"/>
    <n v="39.08"/>
    <x v="114"/>
    <x v="114"/>
    <n v="94.55"/>
    <n v="111.13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x v="0"/>
    <x v="0"/>
    <m/>
    <x v="115"/>
    <x v="115"/>
    <n v="359.22"/>
    <n v="38.42"/>
    <x v="115"/>
    <x v="115"/>
    <n v="27.27"/>
    <n v="196.41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x v="0"/>
    <x v="0"/>
    <m/>
    <x v="116"/>
    <x v="116"/>
    <n v="358.08"/>
    <n v="40.840000000000003"/>
    <x v="116"/>
    <x v="116"/>
    <n v="29.55"/>
    <n v="134.13999999999999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x v="0"/>
    <x v="0"/>
    <m/>
    <x v="117"/>
    <x v="117"/>
    <n v="360.55"/>
    <n v="39.18"/>
    <x v="117"/>
    <x v="117"/>
    <n v="33.47"/>
    <n v="88.04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x v="0"/>
    <x v="0"/>
    <m/>
    <x v="118"/>
    <x v="118"/>
    <n v="359.34"/>
    <n v="38.4"/>
    <x v="118"/>
    <x v="118"/>
    <n v="39.67"/>
    <n v="59.53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0"/>
    <x v="0"/>
    <x v="0"/>
    <m/>
    <x v="119"/>
    <x v="119"/>
    <n v="551.25"/>
    <n v="19.71"/>
    <x v="119"/>
    <x v="119"/>
    <n v="88.08"/>
    <n v="25.02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x v="0"/>
    <x v="0"/>
    <m/>
    <x v="120"/>
    <x v="120"/>
    <n v="529.1"/>
    <n v="35.22"/>
    <x v="120"/>
    <x v="120"/>
    <n v="65.8"/>
    <n v="73.5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"/>
    <s v="mmaenpaa"/>
    <m/>
    <s v="@AC"/>
    <x v="0"/>
    <x v="0"/>
    <x v="0"/>
    <m/>
    <x v="121"/>
    <x v="121"/>
    <n v="487.16"/>
    <n v="25.71"/>
    <x v="121"/>
    <x v="121"/>
    <n v="77.11"/>
    <n v="46.48"/>
    <x v="121"/>
    <s v="124|AT #137|i5 12500H|mmaenpaa||v0.7.5|163,87|12527|487,16|25,71"/>
    <s v="124|AT #137|i5 12500H|mmaenpaa||v0.7.5|3618|3584|77,11|46,48"/>
    <s v="[TR][TD]124[/TD][TD]AT #137[/TD][TD]i5 12500H[/TD][TD]mmaenpaa[/TD][TD][/TD][TD]v0.7.5[/TD][TD]163,87[/TD][TD]12527[/TD][TD]487,16[/TD][TD]25,71[/TD][/TR]"/>
    <s v="[TR][TD]124[/TD][TD]AT #137[/TD][TD]i5 12500H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x v="0"/>
    <x v="0"/>
    <m/>
    <x v="122"/>
    <x v="122"/>
    <n v="531.29999999999995"/>
    <n v="19.899999999999999"/>
    <x v="122"/>
    <x v="122"/>
    <n v="79.5"/>
    <n v="31.5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x v="0"/>
    <x v="0"/>
    <m/>
    <x v="123"/>
    <x v="123"/>
    <n v="600.4"/>
    <n v="14.95"/>
    <x v="123"/>
    <x v="123"/>
    <n v="119.44"/>
    <n v="14.89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8.0"/>
    <m/>
    <m/>
    <s v="R7 4700U (RNR)"/>
    <s v="BorisTheBlade82"/>
    <m/>
    <s v="@AC"/>
    <x v="1"/>
    <x v="1"/>
    <x v="1"/>
    <n v="139.15"/>
    <x v="124"/>
    <x v="124"/>
    <m/>
    <m/>
    <x v="124"/>
    <x v="124"/>
    <m/>
    <m/>
    <x v="124"/>
    <s v="127| #|R7 4700U (RNR)|BorisTheBlade82||v0.8.0|0|0|0|0"/>
    <s v="127| #|R7 4700U (RNR)|BorisTheBlade82||v0.8.0|0|0|0|0"/>
    <s v="[TR][TD]127[/TD][TD] #[/TD][TD]R7 4700U (RNR)[/TD][TD]BorisTheBlade82[/TD][TD][/TD][TD]v0.8.0[/TD][TD]0[/TD][TD]0[/TD][TD]0[/TD][TD]0[/TD][/TR]"/>
    <s v="[TR][TD]127[/TD][TD] #[/TD][TD]R7 4700U (RNR)[/TD][TD]BorisTheBlade82[/TD][TD][/TD][TD]v0.8.0[/TD][TD]0[/TD][TD]0[/TD][TD]0[/TD][TD]0[/TD][/TR]"/>
  </r>
  <r>
    <n v="128"/>
    <s v="v0.8.0"/>
    <m/>
    <m/>
    <s v="R7 4700U (RNR)"/>
    <s v="BorisTheBlade82"/>
    <m/>
    <s v="@Batt."/>
    <x v="0"/>
    <x v="2"/>
    <x v="2"/>
    <n v="180.18"/>
    <x v="124"/>
    <x v="124"/>
    <m/>
    <m/>
    <x v="124"/>
    <x v="124"/>
    <m/>
    <m/>
    <x v="125"/>
    <s v="128| #|R7 4700U (RNR)|BorisTheBlade82||v0.8.0|0|0|0|0"/>
    <s v="128| #|R7 4700U (RNR)|BorisTheBlade82||v0.8.0|0|0|0|0"/>
    <s v="[TR][TD]128[/TD][TD] #[/TD][TD]R7 4700U (RNR)[/TD][TD]BorisTheBlade82[/TD][TD][/TD][TD]v0.8.0[/TD][TD]0[/TD][TD]0[/TD][TD]0[/TD][TD]0[/TD][/TR]"/>
    <s v="[TR][TD]128[/TD][TD] #[/TD][TD]R7 4700U (RNR)[/TD][TD]BorisTheBlade82[/TD][TD][/TD][TD]v0.8.0[/TD][TD]0[/TD][TD]0[/TD][TD]0[/TD][TD]0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4">
  <location ref="B4:C6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dataField="1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a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2">
    <i>
      <x v="313"/>
    </i>
    <i t="grand">
      <x/>
    </i>
  </rowItems>
  <colItems count="1">
    <i/>
  </colItems>
  <pageFields count="2">
    <pageField fld="8" item="1" hier="-1"/>
    <pageField fld="9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6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dataField="1" multipleItemSelectionAllowed="1" showAll="0">
      <items count="4">
        <item x="2"/>
        <item x="1"/>
        <item h="1" x="0"/>
        <item t="default"/>
      </items>
    </pivotField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de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2">
    <i>
      <x v="313"/>
    </i>
    <i t="grand">
      <x/>
    </i>
  </rowItems>
  <colItems count="1">
    <i/>
  </colItems>
  <pageFields count="2">
    <pageField fld="8" item="1" hier="-1"/>
    <pageField fld="10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1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Page" dataField="1" multipleItemSelectionAllowed="1" showAll="0">
      <items count="126">
        <item x="36"/>
        <item x="22"/>
        <item x="33"/>
        <item x="84"/>
        <item x="59"/>
        <item x="16"/>
        <item x="66"/>
        <item x="54"/>
        <item x="57"/>
        <item x="114"/>
        <item x="51"/>
        <item x="88"/>
        <item x="18"/>
        <item x="56"/>
        <item x="58"/>
        <item x="1"/>
        <item x="69"/>
        <item x="5"/>
        <item x="32"/>
        <item x="7"/>
        <item x="61"/>
        <item x="39"/>
        <item x="27"/>
        <item x="17"/>
        <item x="3"/>
        <item x="113"/>
        <item x="34"/>
        <item x="44"/>
        <item x="38"/>
        <item x="55"/>
        <item x="14"/>
        <item x="25"/>
        <item x="30"/>
        <item x="19"/>
        <item x="40"/>
        <item x="20"/>
        <item x="24"/>
        <item x="21"/>
        <item x="77"/>
        <item x="37"/>
        <item x="48"/>
        <item x="87"/>
        <item x="42"/>
        <item x="31"/>
        <item x="83"/>
        <item x="63"/>
        <item x="70"/>
        <item x="75"/>
        <item x="49"/>
        <item x="80"/>
        <item x="35"/>
        <item x="81"/>
        <item x="10"/>
        <item x="85"/>
        <item x="45"/>
        <item x="52"/>
        <item x="86"/>
        <item x="73"/>
        <item x="76"/>
        <item x="103"/>
        <item x="46"/>
        <item x="120"/>
        <item x="89"/>
        <item x="53"/>
        <item x="82"/>
        <item x="50"/>
        <item x="68"/>
        <item x="8"/>
        <item x="60"/>
        <item x="108"/>
        <item x="109"/>
        <item x="107"/>
        <item x="72"/>
        <item x="92"/>
        <item x="2"/>
        <item x="90"/>
        <item x="13"/>
        <item x="6"/>
        <item x="111"/>
        <item x="112"/>
        <item x="0"/>
        <item x="67"/>
        <item x="98"/>
        <item x="11"/>
        <item x="95"/>
        <item x="47"/>
        <item x="65"/>
        <item x="97"/>
        <item x="96"/>
        <item x="106"/>
        <item x="99"/>
        <item x="4"/>
        <item x="79"/>
        <item x="43"/>
        <item x="121"/>
        <item x="26"/>
        <item x="9"/>
        <item x="119"/>
        <item x="41"/>
        <item x="15"/>
        <item x="102"/>
        <item x="23"/>
        <item x="12"/>
        <item x="93"/>
        <item x="122"/>
        <item x="64"/>
        <item x="123"/>
        <item x="104"/>
        <item x="28"/>
        <item x="78"/>
        <item x="71"/>
        <item x="116"/>
        <item x="117"/>
        <item x="118"/>
        <item x="115"/>
        <item x="100"/>
        <item x="74"/>
        <item x="29"/>
        <item x="101"/>
        <item x="105"/>
        <item x="110"/>
        <item x="62"/>
        <item x="94"/>
        <item x="91"/>
        <item h="1" x="124"/>
        <item t="default"/>
      </items>
    </pivotField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a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302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09"/>
    </i>
    <i>
      <x v="307"/>
    </i>
    <i>
      <x v="290"/>
    </i>
    <i>
      <x v="281"/>
    </i>
    <i>
      <x v="310"/>
    </i>
    <i>
      <x v="311"/>
    </i>
    <i>
      <x v="292"/>
    </i>
    <i>
      <x v="266"/>
    </i>
    <i>
      <x v="259"/>
    </i>
    <i>
      <x v="304"/>
    </i>
    <i>
      <x v="305"/>
    </i>
    <i>
      <x v="306"/>
    </i>
    <i>
      <x v="303"/>
    </i>
    <i>
      <x v="288"/>
    </i>
    <i>
      <x v="262"/>
    </i>
    <i>
      <x v="235"/>
    </i>
    <i>
      <x v="293"/>
    </i>
    <i>
      <x v="298"/>
    </i>
    <i>
      <x v="282"/>
    </i>
    <i>
      <x v="279"/>
    </i>
    <i t="grand">
      <x/>
    </i>
  </rowItems>
  <colItems count="1">
    <i/>
  </colItems>
  <pageFields count="2">
    <pageField fld="8" item="1" hier="-1"/>
    <pageField fld="12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6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Page" dataField="1" numFmtId="166" multipleItemSelectionAllowed="1" showAll="0">
      <items count="126">
        <item x="91"/>
        <item x="62"/>
        <item x="64"/>
        <item x="94"/>
        <item x="8"/>
        <item x="78"/>
        <item x="47"/>
        <item x="67"/>
        <item x="60"/>
        <item x="110"/>
        <item x="71"/>
        <item x="29"/>
        <item x="28"/>
        <item x="72"/>
        <item x="74"/>
        <item x="101"/>
        <item x="43"/>
        <item x="76"/>
        <item x="100"/>
        <item x="123"/>
        <item x="52"/>
        <item x="12"/>
        <item x="77"/>
        <item x="26"/>
        <item x="2"/>
        <item x="93"/>
        <item x="104"/>
        <item x="41"/>
        <item x="13"/>
        <item x="4"/>
        <item x="15"/>
        <item x="50"/>
        <item x="6"/>
        <item x="0"/>
        <item x="11"/>
        <item x="122"/>
        <item x="23"/>
        <item x="119"/>
        <item x="105"/>
        <item x="9"/>
        <item x="35"/>
        <item x="79"/>
        <item x="10"/>
        <item x="102"/>
        <item x="65"/>
        <item x="121"/>
        <item x="68"/>
        <item x="90"/>
        <item x="55"/>
        <item x="70"/>
        <item x="118"/>
        <item x="115"/>
        <item x="53"/>
        <item x="92"/>
        <item x="117"/>
        <item x="116"/>
        <item x="46"/>
        <item x="95"/>
        <item x="106"/>
        <item x="99"/>
        <item x="82"/>
        <item x="96"/>
        <item x="97"/>
        <item x="98"/>
        <item x="36"/>
        <item x="120"/>
        <item x="57"/>
        <item x="112"/>
        <item x="111"/>
        <item x="86"/>
        <item x="49"/>
        <item x="58"/>
        <item x="73"/>
        <item x="27"/>
        <item x="89"/>
        <item x="107"/>
        <item x="66"/>
        <item x="39"/>
        <item x="80"/>
        <item x="108"/>
        <item x="45"/>
        <item x="109"/>
        <item x="48"/>
        <item x="81"/>
        <item x="85"/>
        <item x="17"/>
        <item x="75"/>
        <item x="51"/>
        <item x="30"/>
        <item x="63"/>
        <item x="83"/>
        <item x="31"/>
        <item x="40"/>
        <item x="103"/>
        <item x="69"/>
        <item x="87"/>
        <item x="42"/>
        <item x="54"/>
        <item x="38"/>
        <item x="37"/>
        <item x="24"/>
        <item x="88"/>
        <item x="113"/>
        <item x="61"/>
        <item x="5"/>
        <item x="59"/>
        <item x="56"/>
        <item x="21"/>
        <item x="114"/>
        <item x="1"/>
        <item x="20"/>
        <item x="16"/>
        <item x="19"/>
        <item x="25"/>
        <item x="14"/>
        <item x="44"/>
        <item x="34"/>
        <item x="3"/>
        <item x="7"/>
        <item x="32"/>
        <item x="33"/>
        <item x="18"/>
        <item x="84"/>
        <item x="22"/>
        <item h="1" x="124"/>
        <item t="default"/>
      </items>
    </pivotField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Row" showAll="0" sortType="de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106"/>
    </i>
    <i>
      <x v="304"/>
    </i>
    <i>
      <x v="305"/>
    </i>
    <i>
      <x v="280"/>
    </i>
    <i>
      <x v="303"/>
    </i>
    <i>
      <x v="306"/>
    </i>
    <i>
      <x v="258"/>
    </i>
    <i>
      <x v="115"/>
    </i>
    <i>
      <x v="256"/>
    </i>
    <i>
      <x v="309"/>
    </i>
    <i>
      <x v="290"/>
    </i>
    <i>
      <x v="233"/>
    </i>
    <i>
      <x v="267"/>
    </i>
    <i>
      <x v="226"/>
    </i>
    <i>
      <x v="293"/>
    </i>
    <i>
      <x v="307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11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298"/>
    </i>
    <i>
      <x v="119"/>
    </i>
    <i>
      <x v="266"/>
    </i>
    <i>
      <x v="282"/>
    </i>
    <i>
      <x v="279"/>
    </i>
    <i t="grand">
      <x/>
    </i>
  </rowItems>
  <colItems count="1">
    <i/>
  </colItems>
  <pageFields count="2">
    <pageField fld="8" item="1" hier="-1"/>
    <pageField fld="13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axis="axisPage" dataField="1" numFmtId="165" multipleItemSelectionAllowed="1" showAll="0">
      <items count="126">
        <item x="36"/>
        <item x="57"/>
        <item x="55"/>
        <item x="59"/>
        <item x="22"/>
        <item x="88"/>
        <item x="16"/>
        <item x="33"/>
        <item x="77"/>
        <item x="39"/>
        <item x="35"/>
        <item x="60"/>
        <item x="66"/>
        <item x="54"/>
        <item x="51"/>
        <item x="58"/>
        <item x="76"/>
        <item x="27"/>
        <item x="70"/>
        <item x="10"/>
        <item x="38"/>
        <item x="56"/>
        <item x="84"/>
        <item x="50"/>
        <item x="2"/>
        <item x="40"/>
        <item x="52"/>
        <item x="114"/>
        <item x="79"/>
        <item x="72"/>
        <item x="53"/>
        <item x="1"/>
        <item x="23"/>
        <item x="80"/>
        <item x="82"/>
        <item x="69"/>
        <item x="78"/>
        <item x="67"/>
        <item x="68"/>
        <item x="47"/>
        <item x="64"/>
        <item x="11"/>
        <item x="28"/>
        <item x="45"/>
        <item x="37"/>
        <item x="43"/>
        <item x="81"/>
        <item x="61"/>
        <item x="83"/>
        <item x="75"/>
        <item x="5"/>
        <item x="71"/>
        <item x="73"/>
        <item x="93"/>
        <item x="48"/>
        <item x="90"/>
        <item x="63"/>
        <item x="34"/>
        <item x="65"/>
        <item x="46"/>
        <item x="13"/>
        <item x="4"/>
        <item x="0"/>
        <item x="49"/>
        <item x="92"/>
        <item x="17"/>
        <item x="95"/>
        <item x="120"/>
        <item x="41"/>
        <item x="113"/>
        <item x="105"/>
        <item x="9"/>
        <item x="74"/>
        <item x="15"/>
        <item x="6"/>
        <item x="121"/>
        <item x="8"/>
        <item x="29"/>
        <item x="32"/>
        <item x="96"/>
        <item x="18"/>
        <item x="97"/>
        <item x="102"/>
        <item x="87"/>
        <item x="44"/>
        <item x="30"/>
        <item x="106"/>
        <item x="31"/>
        <item x="12"/>
        <item x="62"/>
        <item x="123"/>
        <item x="26"/>
        <item x="3"/>
        <item x="100"/>
        <item x="21"/>
        <item x="110"/>
        <item x="122"/>
        <item x="104"/>
        <item x="99"/>
        <item x="119"/>
        <item x="24"/>
        <item x="85"/>
        <item x="86"/>
        <item x="19"/>
        <item x="91"/>
        <item x="98"/>
        <item x="14"/>
        <item x="94"/>
        <item x="7"/>
        <item x="20"/>
        <item x="25"/>
        <item x="107"/>
        <item x="101"/>
        <item x="42"/>
        <item x="115"/>
        <item x="103"/>
        <item x="116"/>
        <item x="108"/>
        <item x="89"/>
        <item x="117"/>
        <item x="118"/>
        <item x="111"/>
        <item x="109"/>
        <item x="112"/>
        <item h="1" x="124"/>
        <item t="default"/>
      </items>
    </pivotField>
    <pivotField numFmtId="166" showAll="0"/>
    <pivotField numFmtId="164" showAll="0"/>
    <pivotField numFmtId="164" showAll="0"/>
    <pivotField axis="axisRow" showAll="0" sortType="a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280"/>
    </i>
    <i>
      <x v="283"/>
    </i>
    <i>
      <x v="308"/>
    </i>
    <i>
      <x v="301"/>
    </i>
    <i>
      <x v="293"/>
    </i>
    <i>
      <x v="262"/>
    </i>
    <i>
      <x v="220"/>
    </i>
    <i>
      <x v="309"/>
    </i>
    <i>
      <x v="235"/>
    </i>
    <i>
      <x v="285"/>
    </i>
    <i>
      <x v="290"/>
    </i>
    <i>
      <x v="275"/>
    </i>
    <i>
      <x v="294"/>
    </i>
    <i>
      <x v="311"/>
    </i>
    <i>
      <x v="288"/>
    </i>
    <i>
      <x v="298"/>
    </i>
    <i>
      <x v="310"/>
    </i>
    <i>
      <x v="292"/>
    </i>
    <i>
      <x v="307"/>
    </i>
    <i>
      <x v="279"/>
    </i>
    <i>
      <x v="286"/>
    </i>
    <i>
      <x v="282"/>
    </i>
    <i>
      <x v="295"/>
    </i>
    <i>
      <x v="87"/>
    </i>
    <i>
      <x v="303"/>
    </i>
    <i>
      <x v="304"/>
    </i>
    <i>
      <x v="296"/>
    </i>
    <i>
      <x v="305"/>
    </i>
    <i>
      <x v="306"/>
    </i>
    <i>
      <x v="299"/>
    </i>
    <i>
      <x v="297"/>
    </i>
    <i t="grand">
      <x/>
    </i>
  </rowItems>
  <colItems count="1">
    <i/>
  </colItems>
  <pageFields count="2">
    <pageField fld="8" item="1" hier="-1"/>
    <pageField fld="16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63" firstHeaderRow="1" firstDataRow="1" firstDataCol="1" rowPageCount="2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axis="axisPage" dataField="1" numFmtId="166" multipleItemSelectionAllowed="1" showAll="0">
      <items count="126">
        <item x="101"/>
        <item x="110"/>
        <item x="91"/>
        <item x="8"/>
        <item x="123"/>
        <item x="26"/>
        <item x="6"/>
        <item x="67"/>
        <item x="119"/>
        <item x="12"/>
        <item x="118"/>
        <item x="112"/>
        <item x="64"/>
        <item x="0"/>
        <item x="94"/>
        <item x="104"/>
        <item x="122"/>
        <item x="47"/>
        <item x="62"/>
        <item x="109"/>
        <item x="72"/>
        <item x="13"/>
        <item x="100"/>
        <item x="71"/>
        <item x="117"/>
        <item x="89"/>
        <item x="29"/>
        <item x="111"/>
        <item x="52"/>
        <item x="28"/>
        <item x="99"/>
        <item x="102"/>
        <item x="121"/>
        <item x="76"/>
        <item x="23"/>
        <item x="74"/>
        <item x="65"/>
        <item x="15"/>
        <item x="43"/>
        <item x="2"/>
        <item x="116"/>
        <item x="108"/>
        <item x="78"/>
        <item x="9"/>
        <item x="42"/>
        <item x="30"/>
        <item x="25"/>
        <item x="20"/>
        <item x="103"/>
        <item x="17"/>
        <item x="86"/>
        <item x="98"/>
        <item x="7"/>
        <item x="41"/>
        <item x="77"/>
        <item x="14"/>
        <item x="10"/>
        <item x="107"/>
        <item x="92"/>
        <item x="106"/>
        <item x="120"/>
        <item x="90"/>
        <item x="85"/>
        <item x="44"/>
        <item x="60"/>
        <item x="50"/>
        <item x="105"/>
        <item x="31"/>
        <item x="79"/>
        <item x="35"/>
        <item x="70"/>
        <item x="4"/>
        <item x="87"/>
        <item x="49"/>
        <item x="24"/>
        <item x="115"/>
        <item x="68"/>
        <item x="93"/>
        <item x="46"/>
        <item x="18"/>
        <item x="19"/>
        <item x="32"/>
        <item x="11"/>
        <item x="73"/>
        <item x="58"/>
        <item x="21"/>
        <item x="75"/>
        <item x="66"/>
        <item x="83"/>
        <item x="48"/>
        <item x="95"/>
        <item x="3"/>
        <item x="113"/>
        <item x="53"/>
        <item x="5"/>
        <item x="80"/>
        <item x="63"/>
        <item x="97"/>
        <item x="96"/>
        <item x="1"/>
        <item x="45"/>
        <item x="61"/>
        <item x="34"/>
        <item x="69"/>
        <item x="37"/>
        <item x="82"/>
        <item x="81"/>
        <item x="51"/>
        <item x="55"/>
        <item x="27"/>
        <item x="39"/>
        <item x="57"/>
        <item x="114"/>
        <item x="54"/>
        <item x="56"/>
        <item x="40"/>
        <item x="38"/>
        <item x="36"/>
        <item x="16"/>
        <item x="84"/>
        <item x="88"/>
        <item x="59"/>
        <item x="33"/>
        <item x="22"/>
        <item h="1" x="124"/>
        <item t="default"/>
      </items>
    </pivotField>
    <pivotField numFmtId="164" showAll="0"/>
    <pivotField numFmtId="164" showAll="0"/>
    <pivotField axis="axisRow" showAll="0" sortType="descending">
      <items count="315">
        <item m="1" x="240"/>
        <item m="1" x="259"/>
        <item m="1" x="245"/>
        <item m="1" x="300"/>
        <item m="1" x="142"/>
        <item m="1" x="301"/>
        <item m="1" x="183"/>
        <item m="1" x="303"/>
        <item m="1" x="163"/>
        <item m="1" x="313"/>
        <item m="1" x="267"/>
        <item m="1" x="279"/>
        <item m="1" x="284"/>
        <item m="1" x="285"/>
        <item m="1" x="181"/>
        <item m="1" x="141"/>
        <item m="1" x="254"/>
        <item m="1" x="191"/>
        <item m="1" x="193"/>
        <item m="1" x="165"/>
        <item m="1" x="262"/>
        <item x="1"/>
        <item x="2"/>
        <item x="3"/>
        <item m="1" x="306"/>
        <item x="5"/>
        <item m="1" x="145"/>
        <item x="7"/>
        <item m="1" x="305"/>
        <item m="1" x="198"/>
        <item m="1" x="260"/>
        <item m="1" x="222"/>
        <item m="1" x="159"/>
        <item m="1" x="233"/>
        <item x="14"/>
        <item m="1" x="200"/>
        <item x="16"/>
        <item x="17"/>
        <item x="18"/>
        <item x="19"/>
        <item m="1" x="235"/>
        <item m="1" x="236"/>
        <item m="1" x="171"/>
        <item m="1" x="309"/>
        <item m="1" x="188"/>
        <item m="1" x="238"/>
        <item m="1" x="214"/>
        <item m="1" x="243"/>
        <item x="20"/>
        <item x="21"/>
        <item x="22"/>
        <item x="23"/>
        <item x="24"/>
        <item x="25"/>
        <item m="1" x="160"/>
        <item m="1" x="126"/>
        <item m="1" x="161"/>
        <item m="1" x="197"/>
        <item m="1" x="277"/>
        <item m="1" x="278"/>
        <item m="1" x="280"/>
        <item m="1" x="204"/>
        <item m="1" x="185"/>
        <item m="1" x="215"/>
        <item m="1" x="180"/>
        <item m="1" x="189"/>
        <item m="1" x="312"/>
        <item m="1" x="239"/>
        <item m="1" x="248"/>
        <item m="1" x="199"/>
        <item m="1" x="187"/>
        <item m="1" x="261"/>
        <item m="1" x="252"/>
        <item x="27"/>
        <item m="1" x="174"/>
        <item x="30"/>
        <item x="31"/>
        <item x="32"/>
        <item x="33"/>
        <item x="34"/>
        <item m="1" x="256"/>
        <item x="36"/>
        <item x="37"/>
        <item m="1" x="258"/>
        <item m="1" x="131"/>
        <item m="1" x="291"/>
        <item m="1" x="207"/>
        <item x="42"/>
        <item m="1" x="264"/>
        <item m="1" x="275"/>
        <item m="1" x="144"/>
        <item m="1" x="241"/>
        <item m="1" x="182"/>
        <item m="1" x="310"/>
        <item m="1" x="287"/>
        <item m="1" x="228"/>
        <item m="1" x="230"/>
        <item m="1" x="232"/>
        <item m="1" x="247"/>
        <item m="1" x="224"/>
        <item m="1" x="164"/>
        <item m="1" x="268"/>
        <item x="56"/>
        <item m="1" x="196"/>
        <item m="1" x="295"/>
        <item x="45"/>
        <item x="46"/>
        <item x="47"/>
        <item x="48"/>
        <item x="49"/>
        <item m="1" x="158"/>
        <item x="51"/>
        <item x="52"/>
        <item m="1" x="211"/>
        <item x="54"/>
        <item x="55"/>
        <item x="57"/>
        <item x="58"/>
        <item x="59"/>
        <item x="60"/>
        <item x="61"/>
        <item m="1" x="225"/>
        <item m="1" x="137"/>
        <item m="1" x="311"/>
        <item x="65"/>
        <item m="1" x="276"/>
        <item m="1" x="127"/>
        <item m="1" x="177"/>
        <item m="1" x="208"/>
        <item m="1" x="129"/>
        <item m="1" x="220"/>
        <item m="1" x="302"/>
        <item m="1" x="281"/>
        <item m="1" x="140"/>
        <item m="1" x="282"/>
        <item m="1" x="162"/>
        <item m="1" x="205"/>
        <item m="1" x="270"/>
        <item m="1" x="149"/>
        <item m="1" x="272"/>
        <item m="1" x="128"/>
        <item m="1" x="229"/>
        <item m="1" x="294"/>
        <item x="44"/>
        <item m="1" x="136"/>
        <item m="1" x="170"/>
        <item m="1" x="132"/>
        <item m="1" x="186"/>
        <item m="1" x="175"/>
        <item m="1" x="265"/>
        <item m="1" x="130"/>
        <item m="1" x="298"/>
        <item m="1" x="195"/>
        <item m="1" x="138"/>
        <item m="1" x="172"/>
        <item m="1" x="263"/>
        <item m="1" x="139"/>
        <item m="1" x="297"/>
        <item m="1" x="242"/>
        <item m="1" x="308"/>
        <item m="1" x="246"/>
        <item m="1" x="257"/>
        <item m="1" x="133"/>
        <item m="1" x="266"/>
        <item m="1" x="304"/>
        <item m="1" x="274"/>
        <item m="1" x="173"/>
        <item m="1" x="271"/>
        <item m="1" x="176"/>
        <item m="1" x="249"/>
        <item m="1" x="192"/>
        <item m="1" x="292"/>
        <item m="1" x="147"/>
        <item m="1" x="156"/>
        <item m="1" x="167"/>
        <item m="1" x="253"/>
        <item m="1" x="244"/>
        <item m="1" x="152"/>
        <item m="1" x="290"/>
        <item m="1" x="273"/>
        <item m="1" x="218"/>
        <item m="1" x="135"/>
        <item m="1" x="157"/>
        <item m="1" x="219"/>
        <item m="1" x="250"/>
        <item m="1" x="221"/>
        <item m="1" x="212"/>
        <item m="1" x="283"/>
        <item m="1" x="293"/>
        <item m="1" x="226"/>
        <item m="1" x="251"/>
        <item m="1" x="209"/>
        <item m="1" x="223"/>
        <item m="1" x="206"/>
        <item m="1" x="179"/>
        <item m="1" x="134"/>
        <item m="1" x="143"/>
        <item m="1" x="269"/>
        <item m="1" x="150"/>
        <item m="1" x="202"/>
        <item m="1" x="210"/>
        <item m="1" x="307"/>
        <item m="1" x="184"/>
        <item m="1" x="190"/>
        <item m="1" x="217"/>
        <item m="1" x="213"/>
        <item m="1" x="227"/>
        <item m="1" x="146"/>
        <item m="1" x="151"/>
        <item m="1" x="216"/>
        <item m="1" x="178"/>
        <item m="1" x="168"/>
        <item m="1" x="296"/>
        <item m="1" x="288"/>
        <item x="38"/>
        <item x="40"/>
        <item x="53"/>
        <item m="1" x="234"/>
        <item m="1" x="237"/>
        <item x="4"/>
        <item x="6"/>
        <item x="11"/>
        <item x="12"/>
        <item x="13"/>
        <item x="26"/>
        <item x="28"/>
        <item x="35"/>
        <item x="39"/>
        <item x="43"/>
        <item m="1" x="299"/>
        <item m="1" x="231"/>
        <item x="8"/>
        <item x="9"/>
        <item x="10"/>
        <item x="15"/>
        <item x="29"/>
        <item x="41"/>
        <item x="50"/>
        <item x="62"/>
        <item m="1" x="255"/>
        <item m="1" x="201"/>
        <item m="1" x="203"/>
        <item m="1" x="166"/>
        <item m="1" x="289"/>
        <item m="1" x="153"/>
        <item m="1" x="286"/>
        <item m="1" x="169"/>
        <item m="1" x="194"/>
        <item m="1" x="148"/>
        <item m="1" x="155"/>
        <item m="1" x="154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0"/>
  </rowFields>
  <rowItems count="59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266"/>
    </i>
    <i>
      <x v="296"/>
    </i>
    <i>
      <x v="304"/>
    </i>
    <i>
      <x v="22"/>
    </i>
    <i>
      <x v="228"/>
    </i>
    <i>
      <x v="262"/>
    </i>
    <i>
      <x v="264"/>
    </i>
    <i>
      <x v="309"/>
    </i>
    <i>
      <x v="290"/>
    </i>
    <i>
      <x v="299"/>
    </i>
    <i>
      <x v="235"/>
    </i>
    <i>
      <x v="305"/>
    </i>
    <i>
      <x v="259"/>
    </i>
    <i>
      <x v="288"/>
    </i>
    <i>
      <x v="260"/>
    </i>
    <i>
      <x v="297"/>
    </i>
    <i>
      <x v="310"/>
    </i>
    <i>
      <x v="292"/>
    </i>
    <i>
      <x v="282"/>
    </i>
    <i>
      <x v="251"/>
    </i>
    <i>
      <x v="306"/>
    </i>
    <i>
      <x v="307"/>
    </i>
    <i>
      <x v="220"/>
    </i>
    <i>
      <x v="311"/>
    </i>
    <i>
      <x v="279"/>
    </i>
    <i>
      <x v="298"/>
    </i>
    <i t="grand">
      <x/>
    </i>
  </rowItems>
  <colItems count="1">
    <i/>
  </colItems>
  <pageFields count="2">
    <pageField fld="8" item="1" hier="-1"/>
    <pageField fld="17" hier="-1"/>
  </pageFields>
  <dataFields count="1">
    <dataField name="Summe von Cons. CB23MT" fld="17" baseField="0" baseItem="0"/>
  </dataFields>
  <formats count="1">
    <format dxfId="23">
      <pivotArea dataOnly="0" labelOnly="1" fieldPosition="0">
        <references count="1">
          <reference field="20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Z139" totalsRowShown="0">
  <autoFilter ref="B5:Z139" xr:uid="{D71527BF-35EF-41E4-9E51-2CB3A9570C24}"/>
  <tableColumns count="25">
    <tableColumn id="9" xr3:uid="{930AA11C-DBAD-449C-9AAB-58413DD653FF}" name="Ref." dataDxfId="84"/>
    <tableColumn id="12" xr3:uid="{E49439F9-F907-4E59-A719-6E96236549B4}" name="Ver" dataDxfId="83" dataCellStyle="Eingabe"/>
    <tableColumn id="20" xr3:uid="{AD0FEAE1-8D4C-4952-B2FF-6B0C4EC22BC9}" name="Frm" dataDxfId="82" dataCellStyle="Eingabe"/>
    <tableColumn id="1" xr3:uid="{4EB90E3D-8138-420D-9685-23ED5E0CD304}" name="Post" dataDxfId="81" dataCellStyle="Eingabe"/>
    <tableColumn id="2" xr3:uid="{92C57538-460C-4E03-9CB9-83B07236AA32}" name="CPU" dataDxfId="80" dataCellStyle="Eingabe"/>
    <tableColumn id="3" xr3:uid="{F26113B1-1044-4D8E-AAF2-786269A14A78}" name="User" dataDxfId="79" dataCellStyle="Eingabe"/>
    <tableColumn id="11" xr3:uid="{C9A1EC67-185F-4C31-82BF-1FD4E60EEEB8}" name="Remark" dataDxfId="78" dataCellStyle="Eingabe"/>
    <tableColumn id="19" xr3:uid="{94C794A9-6812-467E-9A80-159F40002F47}" name="Chart-Remark" dataDxfId="77" dataCellStyle="Eingabe"/>
    <tableColumn id="17" xr3:uid="{4676CE90-8D18-4367-92DF-8446949D7324}" name="Exclude From Chart" dataDxfId="76" dataCellStyle="Eingabe"/>
    <tableColumn id="25" xr3:uid="{1EEE3A7D-B284-4E13-AF01-171F466D41FC}" name="PES GB5" dataDxfId="75" dataCellStyle="Komma"/>
    <tableColumn id="24" xr3:uid="{D7607841-6E4E-4D3B-B782-5E1B92B88D30}" name="Cons. GB5" dataDxfId="74" dataCellStyle="Komma"/>
    <tableColumn id="23" xr3:uid="{70060D1A-E362-4EEE-BD00-3F96FD53F29A}" name="Dur. GB5" dataDxfId="73" dataCellStyle="Komma"/>
    <tableColumn id="4" xr3:uid="{DC9686E4-85C0-47F0-8897-2265DDE0051D}" name="PES CB23ST" dataDxfId="72" dataCellStyle="Eingabe"/>
    <tableColumn id="6" xr3:uid="{374DB514-59D1-4DD5-9B7D-7CBBDA45F154}" name="Cons. CB23ST" dataDxfId="71" dataCellStyle="Komma"/>
    <tableColumn id="13" xr3:uid="{10E1BD7B-CAF9-42F5-8914-D1310D8226D9}" name="Dur. CB23ST" dataDxfId="70" dataCellStyle="Eingabe"/>
    <tableColumn id="14" xr3:uid="{24DAABC1-44C6-41F4-932F-8FE2CC1373D1}" name="Avg. Pwr. CB23ST" dataDxfId="69" dataCellStyle="Eingabe"/>
    <tableColumn id="5" xr3:uid="{12E62267-0D7D-4CE4-BBC7-A7856D373EEC}" name="PES CB23MT" dataDxfId="68" dataCellStyle="Komma"/>
    <tableColumn id="7" xr3:uid="{601EDF6E-3CF8-4495-BCA8-F12B64C740B5}" name="Cons. CB23MT" dataDxfId="67" dataCellStyle="Komma"/>
    <tableColumn id="15" xr3:uid="{CE683E5F-B131-497D-9152-9159DF956534}" name="Dur. CB23MT" dataDxfId="66" dataCellStyle="Eingabe"/>
    <tableColumn id="16" xr3:uid="{27A65197-EB92-4DD2-BC96-E7065F4BE0F9}" name="Avg. Pwr. CB23MT" dataDxfId="65" dataCellStyle="Eingabe"/>
    <tableColumn id="10" xr3:uid="{17D81176-3AE4-44FC-9069-C773914DD128}" name="GraphLabel" dataDxfId="64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63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2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1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0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59" tableBorderDxfId="58">
  <autoFilter ref="B5:Q200" xr:uid="{97DB2D71-6F27-4FB7-95C8-FAF945A7A0CC}"/>
  <tableColumns count="16">
    <tableColumn id="5" xr3:uid="{154490C8-D842-4DCC-A80E-76AFDC72ABFB}" name="Ref." dataDxfId="57">
      <calculatedColumnFormula>IFERROR(GeneralTable[[#This Row],[Ref.]],NA())</calculatedColumnFormula>
    </tableColumn>
    <tableColumn id="1" xr3:uid="{3EDF8770-432A-449F-B3E3-56583C95C177}" name="GraphLabel" dataDxfId="56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55"/>
    <tableColumn id="2" xr3:uid="{8A775127-2817-4654-839D-45EA0DDEFFD5}" name="Cons." dataDxfId="54" dataCellStyle="Komma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53" dataCellStyle="Eingabe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52">
      <calculatedColumnFormula>1000000000/1000/PerfPowerST5[[#This Row],[Cons.]]</calculatedColumnFormula>
    </tableColumn>
    <tableColumn id="7" xr3:uid="{17DF0820-90EE-4D76-AF46-31A161C924B7}" name="ISO-2000" dataDxfId="51">
      <calculatedColumnFormula>1000000000/2000/PerfPowerST5[[#This Row],[Cons.]]</calculatedColumnFormula>
    </tableColumn>
    <tableColumn id="8" xr3:uid="{0C0846D3-E1A5-495F-AD57-F33D37A91C24}" name="ISO-3000" dataDxfId="50">
      <calculatedColumnFormula>1000000000/3000/PerfPowerST5[[#This Row],[Cons.]]</calculatedColumnFormula>
    </tableColumn>
    <tableColumn id="9" xr3:uid="{2189BCA7-0AE8-462E-9488-508DB3795A8E}" name="ISO-4000" dataDxfId="49">
      <calculatedColumnFormula>1000000000/4000/PerfPowerST5[[#This Row],[Cons.]]</calculatedColumnFormula>
    </tableColumn>
    <tableColumn id="10" xr3:uid="{97B00943-98BE-422E-AF04-E71FE1471061}" name="ISO-5000" dataDxfId="48">
      <calculatedColumnFormula>1000000000/5000/PerfPowerST5[[#This Row],[Cons.]]</calculatedColumnFormula>
    </tableColumn>
    <tableColumn id="11" xr3:uid="{F34CDD61-C854-4A75-9C33-7CEEBC66E798}" name="ISO-6000" dataDxfId="47">
      <calculatedColumnFormula>1000000000/6000/PerfPowerST5[[#This Row],[Cons.]]</calculatedColumnFormula>
    </tableColumn>
    <tableColumn id="12" xr3:uid="{BA000B10-0DB3-4A9B-87B5-DC0D26A7B323}" name="ISO-7000" dataDxfId="46">
      <calculatedColumnFormula>1000000000/7000/PerfPowerST5[[#This Row],[Cons.]]</calculatedColumnFormula>
    </tableColumn>
    <tableColumn id="13" xr3:uid="{8E4E5DAC-9A9A-4E0E-B344-8B1289EBEC9F}" name="ISO-8000" dataDxfId="45">
      <calculatedColumnFormula>1000000000/8000/PerfPowerST5[[#This Row],[Cons.]]</calculatedColumnFormula>
    </tableColumn>
    <tableColumn id="14" xr3:uid="{94DA6D1A-F76B-43F8-A295-BCC38A929F00}" name="ISO-9000" dataDxfId="44">
      <calculatedColumnFormula>1000000000/9000/PerfPowerST5[[#This Row],[Cons.]]</calculatedColumnFormula>
    </tableColumn>
    <tableColumn id="15" xr3:uid="{C34DDEFA-DEE6-4380-AACD-1E6B41241D38}" name="ISO-10000" dataDxfId="43">
      <calculatedColumnFormula>1000000000/10000/PerfPowerST5[[#This Row],[Cons.]]</calculatedColumnFormula>
    </tableColumn>
    <tableColumn id="16" xr3:uid="{36360A92-9D2E-48E1-B8DE-AB09179204B0}" name="ISO-11000" dataDxfId="42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1" tableBorderDxfId="40">
  <autoFilter ref="B5:Q200" xr:uid="{97DB2D71-6F27-4FB7-95C8-FAF945A7A0CC}"/>
  <tableColumns count="16">
    <tableColumn id="5" xr3:uid="{F3E1F3BF-002B-482A-88AD-54C90AC58C6F}" name="Ref." dataDxfId="39">
      <calculatedColumnFormula>IFERROR(GeneralTable[[#This Row],[Ref.]],NA())</calculatedColumnFormula>
    </tableColumn>
    <tableColumn id="1" xr3:uid="{D5C2F3F4-C19A-4236-9BFB-721869560BCA}" name="GraphLabel" dataDxfId="38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37"/>
    <tableColumn id="2" xr3:uid="{01B3B0A8-ADBE-4612-B79B-C28EA6D97BAD}" name="Cons. ST" dataDxfId="36" dataCellStyle="Komma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35" dataCellStyle="Eingabe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34">
      <calculatedColumnFormula>1000000000/50/PerfPowerST[[#This Row],[Cons. ST]]</calculatedColumnFormula>
    </tableColumn>
    <tableColumn id="7" xr3:uid="{5F1A4B22-3A00-483F-AC68-AAF38332DA90}" name="ISO-100" dataDxfId="33">
      <calculatedColumnFormula>1000000000/100/PerfPowerST[[#This Row],[Cons. ST]]</calculatedColumnFormula>
    </tableColumn>
    <tableColumn id="8" xr3:uid="{EB6A5F8D-51DE-47EB-B640-0F932330B7A1}" name="ISO-200" dataDxfId="32">
      <calculatedColumnFormula>1000000000/200/PerfPowerST[[#This Row],[Cons. ST]]</calculatedColumnFormula>
    </tableColumn>
    <tableColumn id="9" xr3:uid="{2601CA6A-3BE9-4C85-989B-DFD336535239}" name="ISO-300" dataDxfId="31">
      <calculatedColumnFormula>1000000000/300/PerfPowerST[[#This Row],[Cons. ST]]</calculatedColumnFormula>
    </tableColumn>
    <tableColumn id="10" xr3:uid="{14603E08-D2B4-4EEE-B0DF-A10BADCD5409}" name="ISO-400" dataDxfId="30">
      <calculatedColumnFormula>1000000000/400/PerfPowerST[[#This Row],[Cons. ST]]</calculatedColumnFormula>
    </tableColumn>
    <tableColumn id="11" xr3:uid="{5A7E064C-D855-4C8B-B990-CA1328F1068F}" name="ISO-500" dataDxfId="29">
      <calculatedColumnFormula>1000000000/500/PerfPowerST[[#This Row],[Cons. ST]]</calculatedColumnFormula>
    </tableColumn>
    <tableColumn id="12" xr3:uid="{4045D943-BF8B-4345-B457-E8C31B0B18D9}" name="ISO-600" dataDxfId="28">
      <calculatedColumnFormula>1000000000/600/PerfPowerST[[#This Row],[Cons. ST]]</calculatedColumnFormula>
    </tableColumn>
    <tableColumn id="13" xr3:uid="{9D27D483-103B-4075-A7E3-6FD81088BDA8}" name="ISO-700" dataDxfId="27">
      <calculatedColumnFormula>1000000000/700/PerfPowerST[[#This Row],[Cons. ST]]</calculatedColumnFormula>
    </tableColumn>
    <tableColumn id="14" xr3:uid="{301C055B-DCA3-41A9-A191-0AE5101D42A2}" name="ISO-800" dataDxfId="26">
      <calculatedColumnFormula>1000000000/800/PerfPowerST[[#This Row],[Cons. ST]]</calculatedColumnFormula>
    </tableColumn>
    <tableColumn id="15" xr3:uid="{4F2B4CF7-0037-4985-81FF-14F3D2DCF569}" name="ISO-900" dataDxfId="25">
      <calculatedColumnFormula>1000000000/900/PerfPowerST[[#This Row],[Cons. ST]]</calculatedColumnFormula>
    </tableColumn>
    <tableColumn id="16" xr3:uid="{4D631E43-E3DE-4E5E-A44E-9693B996DF42}" name="ISO-1000" dataDxfId="24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2" tableBorderDxfId="21">
  <autoFilter ref="B5:V200" xr:uid="{97DB2D71-6F27-4FB7-95C8-FAF945A7A0CC}"/>
  <tableColumns count="21">
    <tableColumn id="5" xr3:uid="{93151D86-B2C5-4644-A01F-5738C5969B82}" name="Ref." dataDxfId="20">
      <calculatedColumnFormula>IFERROR(GeneralTable[[#This Row],[Ref.]],NA())</calculatedColumnFormula>
    </tableColumn>
    <tableColumn id="1" xr3:uid="{FC1D4FE0-575B-4079-A322-20E22576692A}" name="GraphLabel" dataDxfId="19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18"/>
    <tableColumn id="2" xr3:uid="{65B743FB-D4EA-48F0-9851-F1B02492AB9E}" name="Cons. MT" dataDxfId="17" dataCellStyle="Komma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16" dataCellStyle="Eingabe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15">
      <calculatedColumnFormula>1000000000/500/PerfPowerST4[[#This Row],[Cons. MT]]</calculatedColumnFormula>
    </tableColumn>
    <tableColumn id="7" xr3:uid="{58855751-3081-4458-9977-EF952160C630}" name="ISO-1K" dataDxfId="14">
      <calculatedColumnFormula>1000000000/1000/PerfPowerST4[[#This Row],[Cons. MT]]</calculatedColumnFormula>
    </tableColumn>
    <tableColumn id="8" xr3:uid="{D0CE3C84-E54A-48B6-9BD3-8C120901E020}" name="ISO-2K" dataDxfId="13">
      <calculatedColumnFormula>1000000000/2000/PerfPowerST4[[#This Row],[Cons. MT]]</calculatedColumnFormula>
    </tableColumn>
    <tableColumn id="9" xr3:uid="{362F5746-E327-4B9F-9056-770768791ED3}" name="ISO-3K" dataDxfId="12">
      <calculatedColumnFormula>1000000000/3000/PerfPowerST4[[#This Row],[Cons. MT]]</calculatedColumnFormula>
    </tableColumn>
    <tableColumn id="10" xr3:uid="{9F70DB70-ED24-4730-B450-0D424EC73C08}" name="ISO-4K" dataDxfId="11">
      <calculatedColumnFormula>1000000000/4000/PerfPowerST4[[#This Row],[Cons. MT]]</calculatedColumnFormula>
    </tableColumn>
    <tableColumn id="11" xr3:uid="{A704551B-A9F6-4E58-9CBE-822E503A3EC6}" name="ISO-5K" dataDxfId="10">
      <calculatedColumnFormula>1000000000/5000/PerfPowerST4[[#This Row],[Cons. MT]]</calculatedColumnFormula>
    </tableColumn>
    <tableColumn id="12" xr3:uid="{719462D2-AC39-4DF1-918C-E8E93B64C7B0}" name="ISO-6K" dataDxfId="9">
      <calculatedColumnFormula>1000000000/6000/PerfPowerST4[[#This Row],[Cons. MT]]</calculatedColumnFormula>
    </tableColumn>
    <tableColumn id="13" xr3:uid="{79CCC41F-9792-4CF1-97D1-20F0C2E9DBF1}" name="ISO-7K" dataDxfId="8">
      <calculatedColumnFormula>1000000000/7000/PerfPowerST4[[#This Row],[Cons. MT]]</calculatedColumnFormula>
    </tableColumn>
    <tableColumn id="14" xr3:uid="{2DB49BBE-DC83-47A7-8902-E74073C34FE0}" name="ISO-8K" dataDxfId="7">
      <calculatedColumnFormula>1000000000/8000/PerfPowerST4[[#This Row],[Cons. MT]]</calculatedColumnFormula>
    </tableColumn>
    <tableColumn id="15" xr3:uid="{8D9F1CEE-9E94-4EA8-B30F-874755088D7E}" name="ISO-9K" dataDxfId="6">
      <calculatedColumnFormula>1000000000/9000/PerfPowerST4[[#This Row],[Cons. MT]]</calculatedColumnFormula>
    </tableColumn>
    <tableColumn id="16" xr3:uid="{B6B604A9-0277-4E05-834B-0CFAE7A64166}" name="ISO-10K" dataDxfId="5">
      <calculatedColumnFormula>1000000000/10000/PerfPowerST4[[#This Row],[Cons. MT]]</calculatedColumnFormula>
    </tableColumn>
    <tableColumn id="17" xr3:uid="{4F488AB4-1634-47FF-B88B-82E3D1C6E902}" name="ISO-11K" dataDxfId="4">
      <calculatedColumnFormula>1000000000/11000/PerfPowerST4[[#This Row],[Cons. MT]]</calculatedColumnFormula>
    </tableColumn>
    <tableColumn id="18" xr3:uid="{335ACD88-743D-42A3-A550-23C66A9C7C0F}" name="ISO-12K" dataDxfId="3">
      <calculatedColumnFormula>1000000000/12000/PerfPowerST4[[#This Row],[Cons. MT]]</calculatedColumnFormula>
    </tableColumn>
    <tableColumn id="19" xr3:uid="{1070DFDB-FF90-4AA2-B423-B265A445A568}" name="ISO-13K" dataDxfId="2">
      <calculatedColumnFormula>1000000000/13000/PerfPowerST4[[#This Row],[Cons. MT]]</calculatedColumnFormula>
    </tableColumn>
    <tableColumn id="20" xr3:uid="{633D28DD-605B-4248-B253-E9CF97EAAC0B}" name="ISO-14K" dataDxfId="1">
      <calculatedColumnFormula>1000000000/14000/PerfPowerST4[[#This Row],[Cons. MT]]</calculatedColumnFormula>
    </tableColumn>
    <tableColumn id="21" xr3:uid="{C20D3C8D-BB0D-43C4-8CB5-93034447B648}" name="ISO-15K" dataDxfId="0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39"/>
  <sheetViews>
    <sheetView tabSelected="1" zoomScale="86" zoomScaleNormal="100" workbookViewId="0">
      <pane xSplit="6" ySplit="5" topLeftCell="J118" activePane="bottomRight" state="frozen"/>
      <selection pane="topRight" activeCell="G1" sqref="G1"/>
      <selection pane="bottomLeft" activeCell="A5" sqref="A5"/>
      <selection pane="bottomRight" activeCell="O122" sqref="O12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10.6640625" bestFit="1" customWidth="1" outlineLevel="1"/>
    <col min="12" max="12" width="12.109375" bestFit="1" customWidth="1" outlineLevel="1"/>
    <col min="13" max="13" width="11.21875" bestFit="1" customWidth="1" outlineLevel="1"/>
    <col min="14" max="14" width="13.5546875" bestFit="1" customWidth="1"/>
    <col min="15" max="15" width="15" bestFit="1" customWidth="1"/>
    <col min="16" max="16" width="14.109375" bestFit="1" customWidth="1"/>
    <col min="17" max="17" width="18.6640625" bestFit="1" customWidth="1"/>
    <col min="18" max="18" width="14.33203125" bestFit="1" customWidth="1"/>
    <col min="19" max="19" width="15.77734375" bestFit="1" customWidth="1"/>
    <col min="20" max="20" width="14.88671875" bestFit="1" customWidth="1"/>
    <col min="21" max="21" width="19.6640625" bestFit="1" customWidth="1"/>
    <col min="22" max="22" width="39.109375" bestFit="1" customWidth="1"/>
    <col min="23" max="26" width="22.5546875" customWidth="1"/>
    <col min="27" max="27" width="27.44140625" bestFit="1" customWidth="1"/>
    <col min="28" max="28" width="17.21875" bestFit="1" customWidth="1"/>
  </cols>
  <sheetData>
    <row r="1" spans="2:26" x14ac:dyDescent="0.3">
      <c r="B1" s="37" t="s">
        <v>145</v>
      </c>
      <c r="C1" s="37"/>
      <c r="D1" t="s">
        <v>282</v>
      </c>
      <c r="F1" s="3" t="s">
        <v>54</v>
      </c>
      <c r="G1">
        <v>289</v>
      </c>
    </row>
    <row r="2" spans="2:26" x14ac:dyDescent="0.3">
      <c r="B2" s="3"/>
      <c r="C2" s="3"/>
      <c r="D2" s="3"/>
      <c r="F2" s="3" t="s">
        <v>74</v>
      </c>
      <c r="G2">
        <v>230</v>
      </c>
    </row>
    <row r="3" spans="2:26" x14ac:dyDescent="0.3">
      <c r="B3" s="3"/>
      <c r="C3" s="3"/>
      <c r="D3" s="3"/>
      <c r="F3" s="3" t="s">
        <v>154</v>
      </c>
      <c r="G3">
        <v>132</v>
      </c>
    </row>
    <row r="4" spans="2:26" x14ac:dyDescent="0.3">
      <c r="F4" s="3" t="s">
        <v>155</v>
      </c>
      <c r="G4" s="15">
        <v>44857</v>
      </c>
    </row>
    <row r="5" spans="2:26" x14ac:dyDescent="0.3">
      <c r="B5" t="s">
        <v>115</v>
      </c>
      <c r="C5" t="s">
        <v>114</v>
      </c>
      <c r="D5" t="s">
        <v>116</v>
      </c>
      <c r="E5" t="s">
        <v>117</v>
      </c>
      <c r="F5" t="s">
        <v>0</v>
      </c>
      <c r="G5" t="s">
        <v>1</v>
      </c>
      <c r="H5" t="s">
        <v>26</v>
      </c>
      <c r="I5" t="s">
        <v>44</v>
      </c>
      <c r="J5" t="s">
        <v>31</v>
      </c>
      <c r="K5" t="s">
        <v>330</v>
      </c>
      <c r="L5" t="s">
        <v>331</v>
      </c>
      <c r="M5" t="s">
        <v>332</v>
      </c>
      <c r="N5" t="s">
        <v>274</v>
      </c>
      <c r="O5" t="s">
        <v>275</v>
      </c>
      <c r="P5" t="s">
        <v>276</v>
      </c>
      <c r="Q5" t="s">
        <v>277</v>
      </c>
      <c r="R5" t="s">
        <v>278</v>
      </c>
      <c r="S5" t="s">
        <v>279</v>
      </c>
      <c r="T5" t="s">
        <v>280</v>
      </c>
      <c r="U5" t="s">
        <v>281</v>
      </c>
      <c r="V5" t="s">
        <v>5</v>
      </c>
      <c r="W5" t="s">
        <v>150</v>
      </c>
      <c r="X5" t="s">
        <v>151</v>
      </c>
      <c r="Y5" t="s">
        <v>152</v>
      </c>
      <c r="Z5" t="s">
        <v>153</v>
      </c>
    </row>
    <row r="6" spans="2:26" x14ac:dyDescent="0.3">
      <c r="B6" s="19">
        <v>1</v>
      </c>
      <c r="C6" s="20" t="s">
        <v>101</v>
      </c>
      <c r="D6" s="20" t="s">
        <v>77</v>
      </c>
      <c r="E6" s="20">
        <v>3</v>
      </c>
      <c r="F6" s="20" t="s">
        <v>246</v>
      </c>
      <c r="G6" s="20" t="s">
        <v>2</v>
      </c>
      <c r="H6" s="21" t="s">
        <v>53</v>
      </c>
      <c r="I6" s="21"/>
      <c r="J6" s="21"/>
      <c r="K6" s="32"/>
      <c r="L6" s="29"/>
      <c r="M6" s="33"/>
      <c r="N6" s="22">
        <v>143.16999999999999</v>
      </c>
      <c r="O6" s="19">
        <v>10432</v>
      </c>
      <c r="P6" s="22">
        <v>669.57</v>
      </c>
      <c r="Q6" s="22">
        <v>15.58</v>
      </c>
      <c r="R6" s="23">
        <v>2656.06</v>
      </c>
      <c r="S6" s="19">
        <v>2410</v>
      </c>
      <c r="T6" s="22">
        <v>156.22</v>
      </c>
      <c r="U6" s="22">
        <v>15.43</v>
      </c>
      <c r="V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W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X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Y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Z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6" x14ac:dyDescent="0.3">
      <c r="B7" s="19">
        <v>2</v>
      </c>
      <c r="C7" s="20" t="s">
        <v>16</v>
      </c>
      <c r="D7" s="20" t="s">
        <v>77</v>
      </c>
      <c r="E7" s="20">
        <v>6</v>
      </c>
      <c r="F7" s="20" t="s">
        <v>34</v>
      </c>
      <c r="G7" s="20" t="s">
        <v>3</v>
      </c>
      <c r="H7" s="21"/>
      <c r="I7" s="21"/>
      <c r="J7" s="21" t="s">
        <v>32</v>
      </c>
      <c r="K7" s="32"/>
      <c r="L7" s="29"/>
      <c r="M7" s="33"/>
      <c r="N7" s="22">
        <v>45.76</v>
      </c>
      <c r="O7" s="19">
        <v>32112</v>
      </c>
      <c r="P7" s="22">
        <v>680.5</v>
      </c>
      <c r="Q7" s="22">
        <v>47.188831741366641</v>
      </c>
      <c r="R7" s="23">
        <v>1386.39</v>
      </c>
      <c r="S7" s="19">
        <v>7223</v>
      </c>
      <c r="T7" s="22">
        <v>99.861243102293088</v>
      </c>
      <c r="U7" s="22">
        <v>72.330363368310003</v>
      </c>
      <c r="V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W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X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Y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Z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6" x14ac:dyDescent="0.3">
      <c r="B8" s="19">
        <v>3</v>
      </c>
      <c r="C8" s="20" t="s">
        <v>16</v>
      </c>
      <c r="D8" s="20" t="s">
        <v>77</v>
      </c>
      <c r="E8" s="20">
        <v>7</v>
      </c>
      <c r="F8" s="20" t="s">
        <v>39</v>
      </c>
      <c r="G8" s="20" t="s">
        <v>4</v>
      </c>
      <c r="H8" s="21"/>
      <c r="I8" s="21"/>
      <c r="J8" s="21"/>
      <c r="K8" s="32"/>
      <c r="L8" s="29"/>
      <c r="M8" s="33"/>
      <c r="N8" s="22">
        <v>127.76</v>
      </c>
      <c r="O8" s="19">
        <v>9839</v>
      </c>
      <c r="P8" s="22">
        <v>795.5</v>
      </c>
      <c r="Q8" s="22">
        <v>12.368321810182275</v>
      </c>
      <c r="R8" s="23">
        <v>885.22</v>
      </c>
      <c r="S8" s="19">
        <v>3912</v>
      </c>
      <c r="T8" s="22">
        <v>288.76857942815411</v>
      </c>
      <c r="U8" s="22">
        <v>13.547180263680001</v>
      </c>
      <c r="V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W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X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Y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Z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6" x14ac:dyDescent="0.3">
      <c r="B9" s="19">
        <v>4</v>
      </c>
      <c r="C9" s="20" t="s">
        <v>16</v>
      </c>
      <c r="D9" s="20" t="s">
        <v>77</v>
      </c>
      <c r="E9" s="20">
        <v>14</v>
      </c>
      <c r="F9" s="20" t="s">
        <v>35</v>
      </c>
      <c r="G9" s="20" t="s">
        <v>10</v>
      </c>
      <c r="H9" s="21"/>
      <c r="I9" s="21"/>
      <c r="J9" s="21" t="s">
        <v>32</v>
      </c>
      <c r="K9" s="32"/>
      <c r="L9" s="29"/>
      <c r="M9" s="33"/>
      <c r="N9" s="22">
        <v>55.41</v>
      </c>
      <c r="O9" s="19">
        <v>35920</v>
      </c>
      <c r="P9" s="22">
        <v>502.43</v>
      </c>
      <c r="Q9" s="22">
        <v>71.489999999999995</v>
      </c>
      <c r="R9" s="23">
        <v>4779.3</v>
      </c>
      <c r="S9" s="19">
        <v>6242</v>
      </c>
      <c r="T9" s="22">
        <v>33.520000000000003</v>
      </c>
      <c r="U9" s="22">
        <v>186.22</v>
      </c>
      <c r="V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W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X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Y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Z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6" x14ac:dyDescent="0.3">
      <c r="B10" s="19">
        <v>5</v>
      </c>
      <c r="C10" s="20" t="s">
        <v>16</v>
      </c>
      <c r="D10" s="20" t="s">
        <v>77</v>
      </c>
      <c r="E10" s="20">
        <v>18</v>
      </c>
      <c r="F10" s="20" t="s">
        <v>247</v>
      </c>
      <c r="G10" s="20" t="s">
        <v>8</v>
      </c>
      <c r="H10" s="21"/>
      <c r="I10" s="21"/>
      <c r="J10" s="21"/>
      <c r="K10" s="32"/>
      <c r="L10" s="29"/>
      <c r="M10" s="33"/>
      <c r="N10" s="22">
        <v>153.88</v>
      </c>
      <c r="O10" s="19">
        <v>10352</v>
      </c>
      <c r="P10" s="22">
        <v>627.79999999999995</v>
      </c>
      <c r="Q10" s="22">
        <v>16.489327811404909</v>
      </c>
      <c r="R10" s="23">
        <v>2637.56</v>
      </c>
      <c r="S10" s="19">
        <v>5262</v>
      </c>
      <c r="T10" s="22">
        <v>72.052127420048677</v>
      </c>
      <c r="U10" s="22">
        <v>73.030459868639994</v>
      </c>
      <c r="V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W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X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Y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Z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6" x14ac:dyDescent="0.3">
      <c r="B11" s="19">
        <v>6</v>
      </c>
      <c r="C11" s="20" t="s">
        <v>16</v>
      </c>
      <c r="D11" s="20" t="s">
        <v>77</v>
      </c>
      <c r="E11" s="20">
        <v>27</v>
      </c>
      <c r="F11" s="20" t="s">
        <v>36</v>
      </c>
      <c r="G11" s="20" t="s">
        <v>9</v>
      </c>
      <c r="H11" s="21" t="s">
        <v>21</v>
      </c>
      <c r="I11" s="21"/>
      <c r="J11" s="21" t="s">
        <v>32</v>
      </c>
      <c r="K11" s="32"/>
      <c r="L11" s="29"/>
      <c r="M11" s="33"/>
      <c r="N11" s="22">
        <v>51.8</v>
      </c>
      <c r="O11" s="19">
        <v>30057</v>
      </c>
      <c r="P11" s="22">
        <v>642.29999999999995</v>
      </c>
      <c r="Q11" s="22">
        <v>46.795889771134988</v>
      </c>
      <c r="R11" s="23">
        <v>2058.48</v>
      </c>
      <c r="S11" s="19">
        <v>6377</v>
      </c>
      <c r="T11" s="22">
        <v>76.179291851563704</v>
      </c>
      <c r="U11" s="22">
        <v>83.710413223920014</v>
      </c>
      <c r="V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W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X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Y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Z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6" x14ac:dyDescent="0.3">
      <c r="B12" s="19">
        <v>7</v>
      </c>
      <c r="C12" s="20" t="s">
        <v>16</v>
      </c>
      <c r="D12" s="20" t="s">
        <v>77</v>
      </c>
      <c r="E12" s="20">
        <v>29</v>
      </c>
      <c r="F12" s="20" t="s">
        <v>248</v>
      </c>
      <c r="G12" s="20" t="s">
        <v>10</v>
      </c>
      <c r="H12" s="21"/>
      <c r="I12" s="21"/>
      <c r="J12" s="21"/>
      <c r="K12" s="32"/>
      <c r="L12" s="29"/>
      <c r="M12" s="33"/>
      <c r="N12" s="22">
        <v>137.88</v>
      </c>
      <c r="O12" s="19">
        <v>10396</v>
      </c>
      <c r="P12" s="22">
        <v>697.6</v>
      </c>
      <c r="Q12" s="22">
        <v>14.902522935779816</v>
      </c>
      <c r="R12" s="23">
        <v>3599.63</v>
      </c>
      <c r="S12" s="19">
        <v>2029</v>
      </c>
      <c r="T12" s="22">
        <v>136.91785613358184</v>
      </c>
      <c r="U12" s="22">
        <v>14.819104368830001</v>
      </c>
      <c r="V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W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X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Y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Z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6" x14ac:dyDescent="0.3">
      <c r="B13" s="19">
        <v>8</v>
      </c>
      <c r="C13" s="20" t="s">
        <v>16</v>
      </c>
      <c r="D13" s="20" t="s">
        <v>77</v>
      </c>
      <c r="E13" s="20">
        <v>32</v>
      </c>
      <c r="F13" s="20" t="s">
        <v>35</v>
      </c>
      <c r="G13" s="20" t="s">
        <v>11</v>
      </c>
      <c r="H13" s="21"/>
      <c r="I13" s="21"/>
      <c r="J13" s="21" t="s">
        <v>32</v>
      </c>
      <c r="K13" s="32"/>
      <c r="L13" s="29"/>
      <c r="M13" s="33"/>
      <c r="N13" s="22">
        <v>52.94</v>
      </c>
      <c r="O13" s="19">
        <v>37274</v>
      </c>
      <c r="P13" s="22">
        <v>506.76902536093161</v>
      </c>
      <c r="Q13" s="22">
        <v>73.552245963439987</v>
      </c>
      <c r="R13" s="23">
        <v>5760.71</v>
      </c>
      <c r="S13" s="19">
        <v>4507</v>
      </c>
      <c r="T13" s="22">
        <v>38.515578825808959</v>
      </c>
      <c r="U13" s="22">
        <v>117.01758450478999</v>
      </c>
      <c r="V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W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X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Y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Z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6" x14ac:dyDescent="0.3">
      <c r="B14" s="19">
        <v>9</v>
      </c>
      <c r="C14" s="20" t="s">
        <v>16</v>
      </c>
      <c r="D14" s="20" t="s">
        <v>77</v>
      </c>
      <c r="E14" s="20">
        <v>42</v>
      </c>
      <c r="F14" s="20" t="s">
        <v>260</v>
      </c>
      <c r="G14" s="20" t="s">
        <v>12</v>
      </c>
      <c r="H14" s="21" t="s">
        <v>18</v>
      </c>
      <c r="I14" s="21" t="s">
        <v>46</v>
      </c>
      <c r="J14" s="21" t="s">
        <v>32</v>
      </c>
      <c r="K14" s="32"/>
      <c r="L14" s="29"/>
      <c r="M14" s="33"/>
      <c r="N14" s="22">
        <v>111.79</v>
      </c>
      <c r="O14" s="19">
        <v>6239</v>
      </c>
      <c r="P14" s="22">
        <v>1433.91</v>
      </c>
      <c r="Q14" s="22">
        <v>4.3499999999999996</v>
      </c>
      <c r="R14" s="23">
        <v>3815.05</v>
      </c>
      <c r="S14" s="19">
        <v>1738</v>
      </c>
      <c r="T14" s="22">
        <v>150.85</v>
      </c>
      <c r="U14" s="22">
        <v>11.52</v>
      </c>
      <c r="V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W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X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Y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Z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6" x14ac:dyDescent="0.3">
      <c r="B15" s="19">
        <v>10</v>
      </c>
      <c r="C15" s="20" t="s">
        <v>16</v>
      </c>
      <c r="D15" s="20" t="s">
        <v>77</v>
      </c>
      <c r="E15" s="20">
        <v>44</v>
      </c>
      <c r="F15" s="20" t="s">
        <v>260</v>
      </c>
      <c r="G15" s="20" t="s">
        <v>12</v>
      </c>
      <c r="H15" s="21"/>
      <c r="I15" s="21"/>
      <c r="J15" s="21" t="s">
        <v>32</v>
      </c>
      <c r="K15" s="32"/>
      <c r="L15" s="29"/>
      <c r="M15" s="33"/>
      <c r="N15" s="22">
        <v>165.09</v>
      </c>
      <c r="O15" s="19">
        <v>10936</v>
      </c>
      <c r="P15" s="22">
        <v>553.86</v>
      </c>
      <c r="Q15" s="22">
        <v>19.75</v>
      </c>
      <c r="R15" s="23">
        <v>3481.64</v>
      </c>
      <c r="S15" s="19">
        <v>4085</v>
      </c>
      <c r="T15" s="22">
        <v>70.3</v>
      </c>
      <c r="U15" s="22">
        <v>58.11</v>
      </c>
      <c r="V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W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X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Y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Z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6" x14ac:dyDescent="0.3">
      <c r="B16" s="19">
        <v>11</v>
      </c>
      <c r="C16" s="20" t="s">
        <v>16</v>
      </c>
      <c r="D16" s="20" t="s">
        <v>77</v>
      </c>
      <c r="E16" s="20">
        <v>54</v>
      </c>
      <c r="F16" s="20" t="s">
        <v>258</v>
      </c>
      <c r="G16" s="20" t="s">
        <v>13</v>
      </c>
      <c r="H16" s="21"/>
      <c r="I16" s="21"/>
      <c r="J16" s="21"/>
      <c r="K16" s="32"/>
      <c r="L16" s="29"/>
      <c r="M16" s="33"/>
      <c r="N16" s="22">
        <v>88.24</v>
      </c>
      <c r="O16" s="19">
        <v>11657</v>
      </c>
      <c r="P16" s="22">
        <v>972.15</v>
      </c>
      <c r="Q16" s="22">
        <v>11.99</v>
      </c>
      <c r="R16" s="23">
        <v>656.66</v>
      </c>
      <c r="S16" s="19">
        <v>4575</v>
      </c>
      <c r="T16" s="22">
        <v>332.85</v>
      </c>
      <c r="U16" s="22">
        <v>13.75</v>
      </c>
      <c r="V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W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X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Y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Z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6" x14ac:dyDescent="0.3">
      <c r="B17" s="19">
        <v>12</v>
      </c>
      <c r="C17" s="20" t="s">
        <v>16</v>
      </c>
      <c r="D17" s="20" t="s">
        <v>77</v>
      </c>
      <c r="E17" s="20">
        <v>69</v>
      </c>
      <c r="F17" s="20" t="s">
        <v>249</v>
      </c>
      <c r="G17" s="20" t="s">
        <v>9</v>
      </c>
      <c r="H17" s="21"/>
      <c r="I17" s="21"/>
      <c r="J17" s="21"/>
      <c r="K17" s="32"/>
      <c r="L17" s="29"/>
      <c r="M17" s="33"/>
      <c r="N17" s="22">
        <v>146.74</v>
      </c>
      <c r="O17" s="19">
        <v>10450</v>
      </c>
      <c r="P17" s="22">
        <f>10450/16</f>
        <v>653.125</v>
      </c>
      <c r="Q17" s="22">
        <v>16.03</v>
      </c>
      <c r="R17" s="23">
        <v>1818.77</v>
      </c>
      <c r="S17" s="19">
        <v>5785</v>
      </c>
      <c r="T17" s="22">
        <v>95.05</v>
      </c>
      <c r="U17" s="22">
        <v>60.86</v>
      </c>
      <c r="V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W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X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Y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Z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6" x14ac:dyDescent="0.3">
      <c r="B18" s="19">
        <v>13</v>
      </c>
      <c r="C18" s="20" t="s">
        <v>16</v>
      </c>
      <c r="D18" s="20" t="s">
        <v>77</v>
      </c>
      <c r="E18" s="20">
        <v>47</v>
      </c>
      <c r="F18" s="20" t="s">
        <v>247</v>
      </c>
      <c r="G18" s="20" t="s">
        <v>8</v>
      </c>
      <c r="H18" s="21" t="s">
        <v>14</v>
      </c>
      <c r="I18" s="21" t="s">
        <v>45</v>
      </c>
      <c r="J18" s="21" t="s">
        <v>32</v>
      </c>
      <c r="K18" s="32"/>
      <c r="L18" s="29"/>
      <c r="M18" s="33"/>
      <c r="N18" s="22">
        <v>173.7</v>
      </c>
      <c r="O18" s="19">
        <v>9122</v>
      </c>
      <c r="P18" s="22">
        <v>631.12</v>
      </c>
      <c r="Q18" s="22">
        <v>14.45</v>
      </c>
      <c r="R18" s="23">
        <v>4670.05</v>
      </c>
      <c r="S18" s="19">
        <v>2227</v>
      </c>
      <c r="T18" s="22">
        <v>96.17</v>
      </c>
      <c r="U18" s="22">
        <v>23.15</v>
      </c>
      <c r="V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W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X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Y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Z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6" ht="28.8" x14ac:dyDescent="0.3">
      <c r="B19" s="19">
        <v>14</v>
      </c>
      <c r="C19" s="20" t="s">
        <v>16</v>
      </c>
      <c r="D19" s="20" t="s">
        <v>77</v>
      </c>
      <c r="E19" s="20">
        <v>3</v>
      </c>
      <c r="F19" s="20" t="s">
        <v>246</v>
      </c>
      <c r="G19" s="20" t="s">
        <v>2</v>
      </c>
      <c r="H19" s="21" t="s">
        <v>19</v>
      </c>
      <c r="I19" s="21"/>
      <c r="J19" s="21" t="s">
        <v>32</v>
      </c>
      <c r="K19" s="32"/>
      <c r="L19" s="29"/>
      <c r="M19" s="33"/>
      <c r="N19" s="22">
        <v>133.62</v>
      </c>
      <c r="O19" s="19">
        <v>10168</v>
      </c>
      <c r="P19" s="22">
        <v>736</v>
      </c>
      <c r="Q19" s="22">
        <v>13.8</v>
      </c>
      <c r="R19" s="23">
        <v>2586.7600000000002</v>
      </c>
      <c r="S19" s="19">
        <v>2649</v>
      </c>
      <c r="T19" s="22">
        <v>145.93582077670885</v>
      </c>
      <c r="U19" s="22">
        <f>GeneralTable[[#This Row],[Cons. CB23MT]]/GeneralTable[[#This Row],[Dur. CB23MT]]</f>
        <v>18.151814858759998</v>
      </c>
      <c r="V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W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X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Y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Z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6" x14ac:dyDescent="0.3">
      <c r="B20" s="19">
        <v>15</v>
      </c>
      <c r="C20" s="20" t="s">
        <v>16</v>
      </c>
      <c r="D20" s="20" t="s">
        <v>77</v>
      </c>
      <c r="E20" s="20">
        <v>38</v>
      </c>
      <c r="F20" s="20" t="s">
        <v>35</v>
      </c>
      <c r="G20" s="20" t="s">
        <v>11</v>
      </c>
      <c r="H20" s="21"/>
      <c r="I20" s="21"/>
      <c r="J20" s="21" t="s">
        <v>32</v>
      </c>
      <c r="K20" s="32"/>
      <c r="L20" s="29"/>
      <c r="M20" s="33"/>
      <c r="N20" s="22">
        <v>59</v>
      </c>
      <c r="O20" s="19">
        <v>33870</v>
      </c>
      <c r="P20" s="22">
        <v>500.42</v>
      </c>
      <c r="Q20" s="22">
        <v>67.680000000000007</v>
      </c>
      <c r="R20" s="23">
        <v>5578.81</v>
      </c>
      <c r="S20" s="19">
        <v>4561</v>
      </c>
      <c r="T20" s="22">
        <v>39.299999999999997</v>
      </c>
      <c r="U20" s="22">
        <v>116.04</v>
      </c>
      <c r="V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W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X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Y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Z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6" x14ac:dyDescent="0.3">
      <c r="B21" s="19">
        <v>16</v>
      </c>
      <c r="C21" s="20" t="s">
        <v>16</v>
      </c>
      <c r="D21" s="20" t="s">
        <v>77</v>
      </c>
      <c r="E21" s="20">
        <v>65</v>
      </c>
      <c r="F21" s="20" t="s">
        <v>260</v>
      </c>
      <c r="G21" s="20" t="s">
        <v>12</v>
      </c>
      <c r="H21" s="21" t="s">
        <v>17</v>
      </c>
      <c r="I21" s="21"/>
      <c r="J21" s="21" t="s">
        <v>32</v>
      </c>
      <c r="K21" s="32"/>
      <c r="L21" s="29"/>
      <c r="M21" s="33"/>
      <c r="N21" s="22">
        <v>169.55</v>
      </c>
      <c r="O21" s="19">
        <v>10364</v>
      </c>
      <c r="P21" s="22">
        <v>569.12</v>
      </c>
      <c r="Q21" s="22">
        <v>18.21</v>
      </c>
      <c r="R21" s="23">
        <v>3498.15</v>
      </c>
      <c r="S21" s="19">
        <v>3831</v>
      </c>
      <c r="T21" s="22">
        <v>74.63</v>
      </c>
      <c r="U21" s="22">
        <v>51.33</v>
      </c>
      <c r="V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W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X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Y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Z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6" x14ac:dyDescent="0.3">
      <c r="B22" s="19">
        <v>17</v>
      </c>
      <c r="C22" s="20" t="s">
        <v>16</v>
      </c>
      <c r="D22" s="20" t="s">
        <v>77</v>
      </c>
      <c r="E22" s="20">
        <v>64</v>
      </c>
      <c r="F22" s="20" t="s">
        <v>37</v>
      </c>
      <c r="G22" s="20" t="s">
        <v>20</v>
      </c>
      <c r="H22" s="21"/>
      <c r="I22" s="21"/>
      <c r="J22" s="21" t="s">
        <v>32</v>
      </c>
      <c r="K22" s="32"/>
      <c r="L22" s="29"/>
      <c r="M22" s="33"/>
      <c r="N22" s="22">
        <v>31.1</v>
      </c>
      <c r="O22" s="19">
        <v>32204</v>
      </c>
      <c r="P22" s="22">
        <v>998.38</v>
      </c>
      <c r="Q22" s="22">
        <v>32.26</v>
      </c>
      <c r="R22" s="23">
        <v>262.60000000000002</v>
      </c>
      <c r="S22" s="19">
        <v>13138</v>
      </c>
      <c r="T22" s="22">
        <v>289.86</v>
      </c>
      <c r="U22" s="22">
        <v>45.32</v>
      </c>
      <c r="V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W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X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Y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Z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6" x14ac:dyDescent="0.3">
      <c r="B23" s="19">
        <v>18</v>
      </c>
      <c r="C23" s="20" t="s">
        <v>16</v>
      </c>
      <c r="D23" s="20" t="s">
        <v>77</v>
      </c>
      <c r="E23" s="20">
        <v>67</v>
      </c>
      <c r="F23" s="20" t="s">
        <v>36</v>
      </c>
      <c r="G23" s="20" t="s">
        <v>9</v>
      </c>
      <c r="H23" s="21" t="s">
        <v>22</v>
      </c>
      <c r="I23" s="21"/>
      <c r="J23" s="21" t="s">
        <v>32</v>
      </c>
      <c r="K23" s="32"/>
      <c r="L23" s="29"/>
      <c r="M23" s="33"/>
      <c r="N23" s="22">
        <v>55.08</v>
      </c>
      <c r="O23" s="19">
        <v>23918</v>
      </c>
      <c r="P23" s="22">
        <v>759.07</v>
      </c>
      <c r="Q23" s="22">
        <v>31.51</v>
      </c>
      <c r="R23" s="23">
        <v>2787.1</v>
      </c>
      <c r="S23" s="19">
        <v>4404</v>
      </c>
      <c r="T23" s="22">
        <v>81.48</v>
      </c>
      <c r="U23" s="22">
        <v>54.05</v>
      </c>
      <c r="V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W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X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Y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Z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6" x14ac:dyDescent="0.3">
      <c r="B24" s="19">
        <v>19</v>
      </c>
      <c r="C24" s="20" t="s">
        <v>16</v>
      </c>
      <c r="D24" s="20" t="s">
        <v>77</v>
      </c>
      <c r="E24" s="20">
        <v>68</v>
      </c>
      <c r="F24" s="20" t="s">
        <v>38</v>
      </c>
      <c r="G24" s="20" t="s">
        <v>23</v>
      </c>
      <c r="H24" s="21"/>
      <c r="I24" s="21"/>
      <c r="J24" s="21" t="s">
        <v>32</v>
      </c>
      <c r="K24" s="32"/>
      <c r="L24" s="29"/>
      <c r="M24" s="33"/>
      <c r="N24" s="22">
        <v>41.55</v>
      </c>
      <c r="O24" s="19">
        <v>45942</v>
      </c>
      <c r="P24" s="22">
        <v>523.91</v>
      </c>
      <c r="Q24" s="22">
        <v>87.69</v>
      </c>
      <c r="R24" s="23">
        <v>3983</v>
      </c>
      <c r="S24" s="19">
        <v>5607</v>
      </c>
      <c r="T24" s="22">
        <v>44.78</v>
      </c>
      <c r="U24" s="22">
        <v>125.22</v>
      </c>
      <c r="V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W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X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Y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Z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6" x14ac:dyDescent="0.3">
      <c r="B25" s="19">
        <v>20</v>
      </c>
      <c r="C25" s="20" t="s">
        <v>16</v>
      </c>
      <c r="D25" s="20" t="s">
        <v>77</v>
      </c>
      <c r="E25" s="20">
        <v>70</v>
      </c>
      <c r="F25" s="20" t="s">
        <v>35</v>
      </c>
      <c r="G25" s="20" t="s">
        <v>24</v>
      </c>
      <c r="H25" s="21" t="s">
        <v>25</v>
      </c>
      <c r="I25" s="21"/>
      <c r="J25" s="21" t="s">
        <v>32</v>
      </c>
      <c r="K25" s="32"/>
      <c r="L25" s="29"/>
      <c r="M25" s="33"/>
      <c r="N25" s="22">
        <v>60.29</v>
      </c>
      <c r="O25" s="19">
        <v>33002</v>
      </c>
      <c r="P25" s="22">
        <v>502.56</v>
      </c>
      <c r="Q25" s="22">
        <v>65.67</v>
      </c>
      <c r="R25" s="23">
        <v>5295.16</v>
      </c>
      <c r="S25" s="19">
        <v>5633</v>
      </c>
      <c r="T25" s="22">
        <v>33.520000000000003</v>
      </c>
      <c r="U25" s="22">
        <v>168.04</v>
      </c>
      <c r="V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W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X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Y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Z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6" x14ac:dyDescent="0.3">
      <c r="B26" s="19">
        <v>21</v>
      </c>
      <c r="C26" s="20" t="s">
        <v>15</v>
      </c>
      <c r="D26" s="20" t="s">
        <v>77</v>
      </c>
      <c r="E26" s="20">
        <v>88</v>
      </c>
      <c r="F26" s="20" t="s">
        <v>35</v>
      </c>
      <c r="G26" s="20" t="s">
        <v>40</v>
      </c>
      <c r="H26" s="21"/>
      <c r="I26" s="21"/>
      <c r="J26" s="21" t="s">
        <v>32</v>
      </c>
      <c r="K26" s="32"/>
      <c r="L26" s="29"/>
      <c r="M26" s="33"/>
      <c r="N26" s="22">
        <v>62.61</v>
      </c>
      <c r="O26" s="19">
        <v>32182</v>
      </c>
      <c r="P26" s="22">
        <v>496.32</v>
      </c>
      <c r="Q26" s="22">
        <v>64.84</v>
      </c>
      <c r="R26" s="23">
        <v>5945.36</v>
      </c>
      <c r="S26" s="19">
        <v>4356</v>
      </c>
      <c r="T26" s="22">
        <v>38.61</v>
      </c>
      <c r="U26" s="22">
        <v>112.84</v>
      </c>
      <c r="V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W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X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Y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Z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6" x14ac:dyDescent="0.3">
      <c r="B27" s="19">
        <v>22</v>
      </c>
      <c r="C27" s="20" t="s">
        <v>15</v>
      </c>
      <c r="D27" s="20" t="s">
        <v>77</v>
      </c>
      <c r="E27" s="20">
        <v>90</v>
      </c>
      <c r="F27" s="20" t="s">
        <v>35</v>
      </c>
      <c r="G27" s="20" t="s">
        <v>41</v>
      </c>
      <c r="H27" s="21"/>
      <c r="I27" s="21"/>
      <c r="J27" s="21" t="s">
        <v>32</v>
      </c>
      <c r="K27" s="32"/>
      <c r="L27" s="29"/>
      <c r="M27" s="33"/>
      <c r="N27" s="22">
        <v>63.92</v>
      </c>
      <c r="O27" s="19">
        <v>30783</v>
      </c>
      <c r="P27" s="22">
        <v>508.2</v>
      </c>
      <c r="Q27" s="22">
        <v>60.57</v>
      </c>
      <c r="R27" s="23">
        <v>4834.1899999999996</v>
      </c>
      <c r="S27" s="19">
        <v>5902</v>
      </c>
      <c r="T27" s="22">
        <v>35.049999999999997</v>
      </c>
      <c r="U27" s="22">
        <v>168.38</v>
      </c>
      <c r="V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W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X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Y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Z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6" x14ac:dyDescent="0.3">
      <c r="B28" s="19">
        <v>23</v>
      </c>
      <c r="C28" s="20" t="s">
        <v>16</v>
      </c>
      <c r="D28" s="20" t="s">
        <v>77</v>
      </c>
      <c r="E28" s="20">
        <v>108</v>
      </c>
      <c r="F28" s="20" t="s">
        <v>51</v>
      </c>
      <c r="G28" s="20" t="s">
        <v>42</v>
      </c>
      <c r="H28" s="21" t="s">
        <v>52</v>
      </c>
      <c r="I28" s="21" t="s">
        <v>52</v>
      </c>
      <c r="J28" s="21" t="s">
        <v>32</v>
      </c>
      <c r="K28" s="32"/>
      <c r="L28" s="29"/>
      <c r="M28" s="33"/>
      <c r="N28" s="22">
        <v>17.45</v>
      </c>
      <c r="O28" s="19">
        <v>55373</v>
      </c>
      <c r="P28" s="22">
        <v>1034.6400000000001</v>
      </c>
      <c r="Q28" s="22">
        <v>53.52</v>
      </c>
      <c r="R28" s="23">
        <v>237.59</v>
      </c>
      <c r="S28" s="19">
        <v>20531</v>
      </c>
      <c r="T28" s="22">
        <v>205</v>
      </c>
      <c r="U28" s="22">
        <v>100.15</v>
      </c>
      <c r="V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W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X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Y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Z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6" x14ac:dyDescent="0.3">
      <c r="B29" s="19">
        <v>24</v>
      </c>
      <c r="C29" s="20" t="s">
        <v>15</v>
      </c>
      <c r="D29" s="20" t="s">
        <v>77</v>
      </c>
      <c r="E29" s="20">
        <v>102</v>
      </c>
      <c r="F29" s="20" t="s">
        <v>43</v>
      </c>
      <c r="G29" s="20" t="s">
        <v>41</v>
      </c>
      <c r="H29" s="21" t="s">
        <v>17</v>
      </c>
      <c r="I29" s="21"/>
      <c r="J29" s="21" t="s">
        <v>32</v>
      </c>
      <c r="K29" s="32"/>
      <c r="L29" s="29"/>
      <c r="M29" s="33"/>
      <c r="N29" s="22">
        <v>172.46</v>
      </c>
      <c r="O29" s="19">
        <v>10777</v>
      </c>
      <c r="P29" s="22">
        <v>538.05999999999995</v>
      </c>
      <c r="Q29" s="22">
        <v>20.03</v>
      </c>
      <c r="R29" s="23">
        <v>1438.78</v>
      </c>
      <c r="S29" s="19">
        <v>3774</v>
      </c>
      <c r="T29" s="22">
        <v>184.18</v>
      </c>
      <c r="U29" s="22">
        <v>20.49</v>
      </c>
      <c r="V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W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X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Y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Z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6" x14ac:dyDescent="0.3">
      <c r="B30" s="19">
        <v>25</v>
      </c>
      <c r="C30" s="20" t="s">
        <v>15</v>
      </c>
      <c r="D30" s="20" t="s">
        <v>77</v>
      </c>
      <c r="E30" s="20">
        <v>94</v>
      </c>
      <c r="F30" s="20" t="s">
        <v>35</v>
      </c>
      <c r="G30" s="20" t="s">
        <v>41</v>
      </c>
      <c r="H30" s="21" t="s">
        <v>48</v>
      </c>
      <c r="I30" s="21" t="s">
        <v>47</v>
      </c>
      <c r="J30" s="21" t="s">
        <v>32</v>
      </c>
      <c r="K30" s="32"/>
      <c r="L30" s="29"/>
      <c r="M30" s="33"/>
      <c r="N30" s="22">
        <v>63.04</v>
      </c>
      <c r="O30" s="19">
        <v>28707</v>
      </c>
      <c r="P30" s="22">
        <v>552.55999999999995</v>
      </c>
      <c r="Q30" s="22">
        <v>51.95</v>
      </c>
      <c r="R30" s="23">
        <v>5167.0600000000004</v>
      </c>
      <c r="S30" s="19">
        <v>5332</v>
      </c>
      <c r="T30" s="22">
        <v>36.299999999999997</v>
      </c>
      <c r="U30" s="22">
        <v>146.87</v>
      </c>
      <c r="V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W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X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Y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Z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6" x14ac:dyDescent="0.3">
      <c r="B31" s="19">
        <v>26</v>
      </c>
      <c r="C31" s="20" t="s">
        <v>16</v>
      </c>
      <c r="D31" s="20" t="s">
        <v>77</v>
      </c>
      <c r="E31" s="20">
        <v>96</v>
      </c>
      <c r="F31" s="20" t="s">
        <v>35</v>
      </c>
      <c r="G31" s="20" t="s">
        <v>11</v>
      </c>
      <c r="H31" s="21"/>
      <c r="I31" s="21"/>
      <c r="J31" s="21" t="s">
        <v>32</v>
      </c>
      <c r="K31" s="32"/>
      <c r="L31" s="29"/>
      <c r="M31" s="33"/>
      <c r="N31" s="22">
        <v>59.97</v>
      </c>
      <c r="O31" s="19">
        <v>33184.629999999997</v>
      </c>
      <c r="P31" s="22">
        <v>502.51</v>
      </c>
      <c r="Q31" s="22">
        <v>66.040000000000006</v>
      </c>
      <c r="R31" s="23">
        <v>6103.75</v>
      </c>
      <c r="S31" s="19">
        <v>4353.5600000000004</v>
      </c>
      <c r="T31" s="22">
        <v>37.630000000000003</v>
      </c>
      <c r="U31" s="22">
        <v>115.69</v>
      </c>
      <c r="V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W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X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Y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Z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6" x14ac:dyDescent="0.3">
      <c r="B32" s="19">
        <v>27</v>
      </c>
      <c r="C32" s="20" t="s">
        <v>50</v>
      </c>
      <c r="D32" s="20" t="s">
        <v>77</v>
      </c>
      <c r="E32" s="20">
        <v>118</v>
      </c>
      <c r="F32" s="20" t="s">
        <v>247</v>
      </c>
      <c r="G32" s="20" t="s">
        <v>8</v>
      </c>
      <c r="H32" s="21" t="s">
        <v>56</v>
      </c>
      <c r="I32" s="21" t="s">
        <v>55</v>
      </c>
      <c r="J32" s="21" t="s">
        <v>32</v>
      </c>
      <c r="K32" s="32"/>
      <c r="L32" s="29"/>
      <c r="M32" s="33"/>
      <c r="N32" s="22">
        <v>164.2</v>
      </c>
      <c r="O32" s="19">
        <v>9800.31</v>
      </c>
      <c r="P32" s="22">
        <v>621.42999999999995</v>
      </c>
      <c r="Q32" s="22">
        <v>15.77</v>
      </c>
      <c r="R32" s="23">
        <v>4760.57</v>
      </c>
      <c r="S32" s="19">
        <v>2004.54</v>
      </c>
      <c r="T32" s="22">
        <v>104.79</v>
      </c>
      <c r="U32" s="22">
        <v>19.13</v>
      </c>
      <c r="V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W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X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Y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Z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6" x14ac:dyDescent="0.3">
      <c r="B33" s="19">
        <v>28</v>
      </c>
      <c r="C33" s="20" t="s">
        <v>50</v>
      </c>
      <c r="D33" s="20" t="s">
        <v>77</v>
      </c>
      <c r="E33" s="20">
        <v>129</v>
      </c>
      <c r="F33" s="20" t="s">
        <v>57</v>
      </c>
      <c r="G33" s="20" t="s">
        <v>13</v>
      </c>
      <c r="H33" s="21"/>
      <c r="I33" s="21"/>
      <c r="J33" s="21" t="s">
        <v>32</v>
      </c>
      <c r="K33" s="32"/>
      <c r="L33" s="29"/>
      <c r="M33" s="33"/>
      <c r="N33" s="22">
        <v>55.06</v>
      </c>
      <c r="O33" s="19">
        <v>20078</v>
      </c>
      <c r="P33" s="22">
        <v>904.59</v>
      </c>
      <c r="Q33" s="22">
        <v>22.2</v>
      </c>
      <c r="R33" s="23">
        <v>560.07000000000005</v>
      </c>
      <c r="S33" s="19">
        <v>9308</v>
      </c>
      <c r="T33" s="22">
        <v>191.83</v>
      </c>
      <c r="U33" s="22">
        <v>48.52</v>
      </c>
      <c r="V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W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X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Y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Z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6" x14ac:dyDescent="0.3">
      <c r="B34" s="19">
        <v>29</v>
      </c>
      <c r="C34" s="20" t="s">
        <v>50</v>
      </c>
      <c r="D34" s="20" t="s">
        <v>77</v>
      </c>
      <c r="E34" s="20">
        <v>133</v>
      </c>
      <c r="F34" s="20" t="s">
        <v>250</v>
      </c>
      <c r="G34" s="20" t="s">
        <v>8</v>
      </c>
      <c r="H34" s="21"/>
      <c r="I34" s="21"/>
      <c r="J34" s="21" t="s">
        <v>32</v>
      </c>
      <c r="K34" s="32"/>
      <c r="L34" s="29"/>
      <c r="M34" s="33"/>
      <c r="N34" s="22">
        <v>186.38</v>
      </c>
      <c r="O34" s="19">
        <v>7581.59</v>
      </c>
      <c r="P34" s="22">
        <v>707.68</v>
      </c>
      <c r="Q34" s="22">
        <v>10.71</v>
      </c>
      <c r="R34" s="23">
        <v>1839.93</v>
      </c>
      <c r="S34" s="19">
        <v>3342.48</v>
      </c>
      <c r="T34" s="22">
        <v>162.6</v>
      </c>
      <c r="U34" s="22">
        <v>20.56</v>
      </c>
      <c r="V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W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X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Y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Z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6" x14ac:dyDescent="0.3">
      <c r="B35" s="19">
        <v>30</v>
      </c>
      <c r="C35" s="20" t="s">
        <v>15</v>
      </c>
      <c r="D35" s="20" t="s">
        <v>77</v>
      </c>
      <c r="E35" s="20">
        <v>134</v>
      </c>
      <c r="F35" s="20" t="s">
        <v>260</v>
      </c>
      <c r="G35" s="20" t="s">
        <v>12</v>
      </c>
      <c r="H35" s="21" t="s">
        <v>58</v>
      </c>
      <c r="I35" s="21"/>
      <c r="J35" s="21"/>
      <c r="K35" s="32"/>
      <c r="L35" s="29"/>
      <c r="M35" s="33"/>
      <c r="N35" s="22">
        <v>216.08</v>
      </c>
      <c r="O35" s="19">
        <v>7445</v>
      </c>
      <c r="P35" s="22">
        <v>621.65</v>
      </c>
      <c r="Q35" s="22">
        <v>11.98</v>
      </c>
      <c r="R35" s="23">
        <v>3936.18</v>
      </c>
      <c r="S35" s="19">
        <v>3010</v>
      </c>
      <c r="T35" s="22">
        <v>84.41</v>
      </c>
      <c r="U35" s="22">
        <v>35.659999999999997</v>
      </c>
      <c r="V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W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X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Y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Z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6" x14ac:dyDescent="0.3">
      <c r="B36" s="19">
        <v>31</v>
      </c>
      <c r="C36" s="20" t="s">
        <v>50</v>
      </c>
      <c r="D36" s="20" t="s">
        <v>77</v>
      </c>
      <c r="E36" s="20">
        <v>135</v>
      </c>
      <c r="F36" s="20" t="s">
        <v>38</v>
      </c>
      <c r="G36" s="20" t="s">
        <v>59</v>
      </c>
      <c r="H36" s="21" t="s">
        <v>60</v>
      </c>
      <c r="I36" s="21"/>
      <c r="J36" s="21" t="s">
        <v>32</v>
      </c>
      <c r="K36" s="32"/>
      <c r="L36" s="29"/>
      <c r="M36" s="33"/>
      <c r="N36" s="22">
        <v>60.14</v>
      </c>
      <c r="O36" s="19">
        <v>24336</v>
      </c>
      <c r="P36" s="22">
        <v>683.23</v>
      </c>
      <c r="Q36" s="22">
        <v>35.619999999999997</v>
      </c>
      <c r="R36" s="23">
        <v>4414.66</v>
      </c>
      <c r="S36" s="19">
        <v>4151</v>
      </c>
      <c r="T36" s="22">
        <v>54.57</v>
      </c>
      <c r="U36" s="22">
        <v>76.08</v>
      </c>
      <c r="V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W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X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Y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Z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6" x14ac:dyDescent="0.3">
      <c r="B37" s="19">
        <v>32</v>
      </c>
      <c r="C37" s="20" t="s">
        <v>50</v>
      </c>
      <c r="D37" s="20" t="s">
        <v>77</v>
      </c>
      <c r="E37" s="20">
        <v>136</v>
      </c>
      <c r="F37" s="20" t="s">
        <v>38</v>
      </c>
      <c r="G37" s="20" t="s">
        <v>61</v>
      </c>
      <c r="H37" s="21"/>
      <c r="I37" s="21"/>
      <c r="J37" s="21" t="s">
        <v>32</v>
      </c>
      <c r="K37" s="32"/>
      <c r="L37" s="29"/>
      <c r="M37" s="33"/>
      <c r="N37" s="22">
        <v>75.569999999999993</v>
      </c>
      <c r="O37" s="19">
        <v>25543</v>
      </c>
      <c r="P37" s="22">
        <v>518.05999999999995</v>
      </c>
      <c r="Q37" s="22">
        <v>49.31</v>
      </c>
      <c r="R37" s="23">
        <v>4461.2299999999996</v>
      </c>
      <c r="S37" s="19">
        <v>5187.88</v>
      </c>
      <c r="T37" s="22">
        <v>43.21</v>
      </c>
      <c r="U37" s="22">
        <v>120.07</v>
      </c>
      <c r="V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W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X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Y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Z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6" x14ac:dyDescent="0.3">
      <c r="B38" s="19">
        <v>33</v>
      </c>
      <c r="C38" s="20" t="s">
        <v>50</v>
      </c>
      <c r="D38" s="20" t="s">
        <v>77</v>
      </c>
      <c r="E38" s="20">
        <v>140</v>
      </c>
      <c r="F38" s="20" t="s">
        <v>38</v>
      </c>
      <c r="G38" s="20" t="s">
        <v>23</v>
      </c>
      <c r="H38" s="21" t="s">
        <v>62</v>
      </c>
      <c r="I38" s="21"/>
      <c r="J38" s="21" t="s">
        <v>32</v>
      </c>
      <c r="K38" s="32"/>
      <c r="L38" s="29"/>
      <c r="M38" s="33"/>
      <c r="N38" s="22">
        <v>52.3</v>
      </c>
      <c r="O38" s="19">
        <v>38103</v>
      </c>
      <c r="P38" s="22">
        <v>501.84</v>
      </c>
      <c r="Q38" s="22">
        <v>75.930000000000007</v>
      </c>
      <c r="R38" s="23">
        <v>3945.77</v>
      </c>
      <c r="S38" s="19">
        <v>5760</v>
      </c>
      <c r="T38" s="22">
        <v>44</v>
      </c>
      <c r="U38" s="22">
        <v>130.91999999999999</v>
      </c>
      <c r="V3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W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X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Y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Z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6" x14ac:dyDescent="0.3">
      <c r="B39" s="19">
        <v>34</v>
      </c>
      <c r="C39" s="20" t="s">
        <v>50</v>
      </c>
      <c r="D39" s="20" t="s">
        <v>77</v>
      </c>
      <c r="E39" s="20">
        <v>141</v>
      </c>
      <c r="F39" s="20" t="s">
        <v>64</v>
      </c>
      <c r="G39" s="20" t="s">
        <v>63</v>
      </c>
      <c r="H39" s="21" t="s">
        <v>65</v>
      </c>
      <c r="I39" s="21" t="s">
        <v>65</v>
      </c>
      <c r="J39" s="21" t="s">
        <v>32</v>
      </c>
      <c r="K39" s="32"/>
      <c r="L39" s="29"/>
      <c r="M39" s="33"/>
      <c r="N39" s="22">
        <v>26.38</v>
      </c>
      <c r="O39" s="19">
        <v>38525</v>
      </c>
      <c r="P39" s="22">
        <v>983.86</v>
      </c>
      <c r="Q39" s="22">
        <v>39.159999999999997</v>
      </c>
      <c r="R39" s="23">
        <v>269.61</v>
      </c>
      <c r="S39" s="19">
        <v>18669</v>
      </c>
      <c r="T39" s="22">
        <v>198.68</v>
      </c>
      <c r="U39" s="22">
        <v>93.96</v>
      </c>
      <c r="V3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W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X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Y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Z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6" x14ac:dyDescent="0.3">
      <c r="B40" s="19">
        <v>35</v>
      </c>
      <c r="C40" s="20" t="s">
        <v>50</v>
      </c>
      <c r="D40" s="20" t="s">
        <v>77</v>
      </c>
      <c r="E40" s="20">
        <v>145</v>
      </c>
      <c r="F40" s="20" t="s">
        <v>66</v>
      </c>
      <c r="G40" s="20" t="s">
        <v>67</v>
      </c>
      <c r="H40" s="21"/>
      <c r="I40" s="21"/>
      <c r="J40" s="21" t="s">
        <v>32</v>
      </c>
      <c r="K40" s="32"/>
      <c r="L40" s="29"/>
      <c r="M40" s="33"/>
      <c r="N40" s="22">
        <v>57.13</v>
      </c>
      <c r="O40" s="19">
        <v>34236</v>
      </c>
      <c r="P40" s="22">
        <v>511.24</v>
      </c>
      <c r="Q40" s="22">
        <v>66.97</v>
      </c>
      <c r="R40" s="23">
        <v>2347.02</v>
      </c>
      <c r="S40" s="19">
        <v>7508</v>
      </c>
      <c r="T40" s="22">
        <v>56.75</v>
      </c>
      <c r="U40" s="22">
        <v>132.29</v>
      </c>
      <c r="V4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W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X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Y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Z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6" x14ac:dyDescent="0.3">
      <c r="B41" s="19">
        <v>36</v>
      </c>
      <c r="C41" s="20" t="s">
        <v>50</v>
      </c>
      <c r="D41" s="20" t="s">
        <v>77</v>
      </c>
      <c r="E41" s="20">
        <v>146</v>
      </c>
      <c r="F41" s="20" t="s">
        <v>244</v>
      </c>
      <c r="G41" s="20" t="s">
        <v>63</v>
      </c>
      <c r="H41" s="21" t="s">
        <v>70</v>
      </c>
      <c r="I41" s="21"/>
      <c r="J41" s="21"/>
      <c r="K41" s="32"/>
      <c r="L41" s="29"/>
      <c r="M41" s="33"/>
      <c r="N41" s="22">
        <v>83.49</v>
      </c>
      <c r="O41" s="19">
        <v>11096</v>
      </c>
      <c r="P41" s="22">
        <v>1079.3699999999999</v>
      </c>
      <c r="Q41" s="22">
        <v>10.28</v>
      </c>
      <c r="R41" s="23">
        <v>384.59</v>
      </c>
      <c r="S41" s="19">
        <v>5226</v>
      </c>
      <c r="T41" s="22">
        <v>497.55</v>
      </c>
      <c r="U41" s="22">
        <v>10.5</v>
      </c>
      <c r="V4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W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X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Y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Z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6" x14ac:dyDescent="0.3">
      <c r="B42" s="19">
        <v>37</v>
      </c>
      <c r="C42" s="20" t="s">
        <v>50</v>
      </c>
      <c r="D42" s="20" t="s">
        <v>77</v>
      </c>
      <c r="E42" s="20">
        <v>146</v>
      </c>
      <c r="F42" s="20" t="s">
        <v>68</v>
      </c>
      <c r="G42" s="20" t="s">
        <v>63</v>
      </c>
      <c r="H42" s="21"/>
      <c r="I42" s="21"/>
      <c r="J42" s="21" t="s">
        <v>32</v>
      </c>
      <c r="K42" s="32"/>
      <c r="L42" s="29"/>
      <c r="M42" s="33"/>
      <c r="N42" s="22">
        <v>16.690000000000001</v>
      </c>
      <c r="O42" s="19">
        <v>18192</v>
      </c>
      <c r="P42" s="22">
        <v>3293.49</v>
      </c>
      <c r="Q42" s="22">
        <v>5.52</v>
      </c>
      <c r="R42" s="23">
        <v>35.61</v>
      </c>
      <c r="S42" s="19">
        <v>12920</v>
      </c>
      <c r="T42" s="22">
        <v>2173.7800000000002</v>
      </c>
      <c r="U42" s="22">
        <v>5.94</v>
      </c>
      <c r="V4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W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X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Y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Z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6" x14ac:dyDescent="0.3">
      <c r="B43" s="19">
        <v>38</v>
      </c>
      <c r="C43" s="20" t="s">
        <v>50</v>
      </c>
      <c r="D43" s="20" t="s">
        <v>77</v>
      </c>
      <c r="E43" s="20">
        <v>148</v>
      </c>
      <c r="F43" s="20" t="s">
        <v>66</v>
      </c>
      <c r="G43" s="20" t="s">
        <v>69</v>
      </c>
      <c r="H43" s="21"/>
      <c r="I43" s="21"/>
      <c r="J43" s="21" t="s">
        <v>32</v>
      </c>
      <c r="K43" s="32"/>
      <c r="L43" s="29"/>
      <c r="M43" s="33"/>
      <c r="N43" s="22">
        <v>68.06</v>
      </c>
      <c r="O43" s="19">
        <v>28138</v>
      </c>
      <c r="P43" s="22">
        <v>522.16999999999996</v>
      </c>
      <c r="Q43" s="22">
        <v>53.89</v>
      </c>
      <c r="R43" s="23">
        <v>1876.01</v>
      </c>
      <c r="S43" s="19">
        <v>7902</v>
      </c>
      <c r="T43" s="22">
        <v>67.459999999999994</v>
      </c>
      <c r="U43" s="22">
        <v>117.13</v>
      </c>
      <c r="V4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W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X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Y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Z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6" x14ac:dyDescent="0.3">
      <c r="B44" s="19">
        <v>39</v>
      </c>
      <c r="C44" s="20" t="s">
        <v>50</v>
      </c>
      <c r="D44" s="20" t="s">
        <v>77</v>
      </c>
      <c r="E44" s="20">
        <v>154</v>
      </c>
      <c r="F44" s="20" t="s">
        <v>239</v>
      </c>
      <c r="G44" s="20" t="s">
        <v>67</v>
      </c>
      <c r="H44" s="21"/>
      <c r="I44" s="21"/>
      <c r="J44" s="21"/>
      <c r="K44" s="32"/>
      <c r="L44" s="29"/>
      <c r="M44" s="33"/>
      <c r="N44" s="22">
        <v>58.25</v>
      </c>
      <c r="O44" s="19">
        <v>27864</v>
      </c>
      <c r="P44" s="22">
        <v>616.08000000000004</v>
      </c>
      <c r="Q44" s="22">
        <v>45.23</v>
      </c>
      <c r="R44" s="23">
        <v>739.31</v>
      </c>
      <c r="S44" s="19">
        <v>12266</v>
      </c>
      <c r="T44" s="22">
        <v>110.27</v>
      </c>
      <c r="U44" s="22">
        <v>111.24</v>
      </c>
      <c r="V4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W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X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Y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Z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6" x14ac:dyDescent="0.3">
      <c r="B45" s="19">
        <v>40</v>
      </c>
      <c r="C45" s="20" t="s">
        <v>50</v>
      </c>
      <c r="D45" s="20" t="s">
        <v>77</v>
      </c>
      <c r="E45" s="20">
        <v>154</v>
      </c>
      <c r="F45" s="20" t="s">
        <v>245</v>
      </c>
      <c r="G45" s="20" t="s">
        <v>67</v>
      </c>
      <c r="H45" s="21"/>
      <c r="I45" s="21" t="s">
        <v>71</v>
      </c>
      <c r="J45" s="21" t="s">
        <v>32</v>
      </c>
      <c r="K45" s="32"/>
      <c r="L45" s="29"/>
      <c r="M45" s="33"/>
      <c r="N45" s="22">
        <v>54.74</v>
      </c>
      <c r="O45" s="19">
        <v>20650</v>
      </c>
      <c r="P45" s="22">
        <v>884.67</v>
      </c>
      <c r="Q45" s="22">
        <v>23.34</v>
      </c>
      <c r="R45" s="23">
        <v>336.42</v>
      </c>
      <c r="S45" s="19">
        <v>10055</v>
      </c>
      <c r="T45" s="22">
        <v>295.61</v>
      </c>
      <c r="U45" s="22">
        <v>34.020000000000003</v>
      </c>
      <c r="V4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W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X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Y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Z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6" x14ac:dyDescent="0.3">
      <c r="B46" s="19">
        <v>41</v>
      </c>
      <c r="C46" s="20" t="s">
        <v>50</v>
      </c>
      <c r="D46" s="20" t="s">
        <v>77</v>
      </c>
      <c r="E46" s="20">
        <v>155</v>
      </c>
      <c r="F46" s="20" t="s">
        <v>240</v>
      </c>
      <c r="G46" s="20" t="s">
        <v>72</v>
      </c>
      <c r="H46" s="21" t="s">
        <v>73</v>
      </c>
      <c r="I46" s="21"/>
      <c r="J46" s="21"/>
      <c r="K46" s="32"/>
      <c r="L46" s="29"/>
      <c r="M46" s="33"/>
      <c r="N46" s="22">
        <v>61.55</v>
      </c>
      <c r="O46" s="19">
        <v>25887</v>
      </c>
      <c r="P46" s="22">
        <v>627.62</v>
      </c>
      <c r="Q46" s="22">
        <v>41.25</v>
      </c>
      <c r="R46" s="23">
        <v>925.56</v>
      </c>
      <c r="S46" s="19">
        <v>12017</v>
      </c>
      <c r="T46" s="22">
        <v>89.91</v>
      </c>
      <c r="U46" s="22">
        <v>133.65</v>
      </c>
      <c r="V4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W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X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Y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Z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6" x14ac:dyDescent="0.3">
      <c r="B47" s="19">
        <v>42</v>
      </c>
      <c r="C47" s="20" t="s">
        <v>50</v>
      </c>
      <c r="D47" s="20" t="s">
        <v>77</v>
      </c>
      <c r="E47" s="20">
        <v>156</v>
      </c>
      <c r="F47" s="20" t="s">
        <v>261</v>
      </c>
      <c r="G47" s="20" t="s">
        <v>61</v>
      </c>
      <c r="H47" s="21"/>
      <c r="I47" s="21"/>
      <c r="J47" s="21" t="s">
        <v>32</v>
      </c>
      <c r="K47" s="32"/>
      <c r="L47" s="29"/>
      <c r="M47" s="33"/>
      <c r="N47" s="22">
        <v>168.79</v>
      </c>
      <c r="O47" s="19">
        <v>10124</v>
      </c>
      <c r="P47" s="22">
        <v>585.17999999999995</v>
      </c>
      <c r="Q47" s="22">
        <v>17.3</v>
      </c>
      <c r="R47" s="23">
        <v>3171.28</v>
      </c>
      <c r="S47" s="19">
        <v>4516</v>
      </c>
      <c r="T47" s="22">
        <v>69.83</v>
      </c>
      <c r="U47" s="22">
        <v>64.67</v>
      </c>
      <c r="V4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W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X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Y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Z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6" x14ac:dyDescent="0.3">
      <c r="B48" s="19">
        <v>43</v>
      </c>
      <c r="C48" s="20" t="s">
        <v>50</v>
      </c>
      <c r="D48" s="20" t="s">
        <v>77</v>
      </c>
      <c r="E48" s="20">
        <v>160</v>
      </c>
      <c r="F48" s="20" t="s">
        <v>35</v>
      </c>
      <c r="G48" s="20" t="s">
        <v>76</v>
      </c>
      <c r="H48" s="21"/>
      <c r="I48" s="21"/>
      <c r="J48" s="21"/>
      <c r="K48" s="32"/>
      <c r="L48" s="29"/>
      <c r="M48" s="33"/>
      <c r="N48" s="22">
        <v>74.44</v>
      </c>
      <c r="O48" s="19">
        <v>26935</v>
      </c>
      <c r="P48" s="22">
        <v>498.76</v>
      </c>
      <c r="Q48" s="22">
        <v>54</v>
      </c>
      <c r="R48" s="23">
        <v>6668.05</v>
      </c>
      <c r="S48" s="19">
        <v>4149</v>
      </c>
      <c r="T48" s="22">
        <v>36.14</v>
      </c>
      <c r="U48" s="22">
        <v>114.8</v>
      </c>
      <c r="V4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W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X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Y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Z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6" x14ac:dyDescent="0.3">
      <c r="B49" s="19">
        <v>44</v>
      </c>
      <c r="C49" s="20" t="s">
        <v>75</v>
      </c>
      <c r="D49" s="20" t="s">
        <v>77</v>
      </c>
      <c r="E49" s="20">
        <v>165</v>
      </c>
      <c r="F49" s="20" t="s">
        <v>251</v>
      </c>
      <c r="G49" s="20" t="s">
        <v>78</v>
      </c>
      <c r="H49" s="21" t="s">
        <v>79</v>
      </c>
      <c r="I49" s="21"/>
      <c r="J49" s="21"/>
      <c r="K49" s="32"/>
      <c r="L49" s="29"/>
      <c r="M49" s="33"/>
      <c r="N49" s="22">
        <v>158.59</v>
      </c>
      <c r="O49" s="19">
        <v>8278</v>
      </c>
      <c r="P49" s="22">
        <v>761.74</v>
      </c>
      <c r="Q49" s="22">
        <v>10.87</v>
      </c>
      <c r="R49" s="23">
        <v>1878.68</v>
      </c>
      <c r="S49" s="19">
        <v>3886</v>
      </c>
      <c r="T49" s="22">
        <v>136.99</v>
      </c>
      <c r="U49" s="22">
        <v>28.36</v>
      </c>
      <c r="V4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W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X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Y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Z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6" x14ac:dyDescent="0.3">
      <c r="B50" s="19">
        <v>45</v>
      </c>
      <c r="C50" s="20" t="s">
        <v>75</v>
      </c>
      <c r="D50" s="20" t="s">
        <v>80</v>
      </c>
      <c r="E50" s="20">
        <v>4</v>
      </c>
      <c r="F50" s="20" t="s">
        <v>38</v>
      </c>
      <c r="G50" s="20" t="s">
        <v>81</v>
      </c>
      <c r="H50" s="21" t="s">
        <v>82</v>
      </c>
      <c r="I50" s="21" t="s">
        <v>82</v>
      </c>
      <c r="J50" s="21" t="s">
        <v>32</v>
      </c>
      <c r="K50" s="32"/>
      <c r="L50" s="29"/>
      <c r="M50" s="33"/>
      <c r="N50" s="22">
        <v>58.15</v>
      </c>
      <c r="O50" s="19">
        <v>33913</v>
      </c>
      <c r="P50" s="22">
        <v>507.07</v>
      </c>
      <c r="Q50" s="22">
        <v>66.88</v>
      </c>
      <c r="R50" s="23">
        <v>4388.1099999999997</v>
      </c>
      <c r="S50" s="19">
        <v>4868</v>
      </c>
      <c r="T50" s="22">
        <v>46.82</v>
      </c>
      <c r="U50" s="22">
        <v>103.97</v>
      </c>
      <c r="V5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W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X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Y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Z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6" x14ac:dyDescent="0.3">
      <c r="B51" s="19">
        <v>46</v>
      </c>
      <c r="C51" s="20" t="s">
        <v>75</v>
      </c>
      <c r="D51" s="20" t="s">
        <v>80</v>
      </c>
      <c r="E51" s="20">
        <v>5</v>
      </c>
      <c r="F51" s="20" t="s">
        <v>85</v>
      </c>
      <c r="G51" s="20" t="s">
        <v>83</v>
      </c>
      <c r="H51" s="21"/>
      <c r="I51" s="21"/>
      <c r="J51" s="21" t="s">
        <v>32</v>
      </c>
      <c r="K51" s="32"/>
      <c r="L51" s="29"/>
      <c r="M51" s="33"/>
      <c r="N51" s="22">
        <v>90.06</v>
      </c>
      <c r="O51" s="19">
        <v>21193</v>
      </c>
      <c r="P51" s="22">
        <v>523.91999999999996</v>
      </c>
      <c r="Q51" s="22">
        <v>40.450000000000003</v>
      </c>
      <c r="R51" s="23">
        <v>1843</v>
      </c>
      <c r="S51" s="19">
        <v>7230</v>
      </c>
      <c r="T51" s="22">
        <v>75.05</v>
      </c>
      <c r="U51" s="22">
        <v>96.34</v>
      </c>
      <c r="V5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W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X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Y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Z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6" x14ac:dyDescent="0.3">
      <c r="B52" s="19">
        <v>47</v>
      </c>
      <c r="C52" s="20" t="s">
        <v>75</v>
      </c>
      <c r="D52" s="20" t="s">
        <v>80</v>
      </c>
      <c r="E52" s="20">
        <v>9</v>
      </c>
      <c r="F52" s="20" t="s">
        <v>36</v>
      </c>
      <c r="G52" s="20" t="s">
        <v>84</v>
      </c>
      <c r="H52" s="21" t="s">
        <v>108</v>
      </c>
      <c r="I52" s="21"/>
      <c r="J52" s="21"/>
      <c r="K52" s="32"/>
      <c r="L52" s="29"/>
      <c r="M52" s="33"/>
      <c r="N52" s="22">
        <v>101.29</v>
      </c>
      <c r="O52" s="19">
        <v>15775</v>
      </c>
      <c r="P52" s="22">
        <v>625.84</v>
      </c>
      <c r="Q52" s="22">
        <v>25.21</v>
      </c>
      <c r="R52" s="23">
        <v>2569.91</v>
      </c>
      <c r="S52" s="19">
        <v>5444</v>
      </c>
      <c r="T52" s="22">
        <v>71.48</v>
      </c>
      <c r="U52" s="22">
        <v>76.150000000000006</v>
      </c>
      <c r="V5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W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X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Y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Z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6" x14ac:dyDescent="0.3">
      <c r="B53" s="19">
        <v>48</v>
      </c>
      <c r="C53" s="20" t="s">
        <v>75</v>
      </c>
      <c r="D53" s="20" t="s">
        <v>80</v>
      </c>
      <c r="E53" s="20">
        <v>10</v>
      </c>
      <c r="F53" s="20" t="s">
        <v>93</v>
      </c>
      <c r="G53" s="20" t="s">
        <v>86</v>
      </c>
      <c r="H53" s="21" t="s">
        <v>108</v>
      </c>
      <c r="I53" s="21"/>
      <c r="J53" s="21" t="s">
        <v>32</v>
      </c>
      <c r="K53" s="32"/>
      <c r="L53" s="29"/>
      <c r="M53" s="33"/>
      <c r="N53" s="22">
        <v>147.36000000000001</v>
      </c>
      <c r="O53" s="19">
        <v>6619</v>
      </c>
      <c r="P53" s="22">
        <v>1025.22</v>
      </c>
      <c r="Q53" s="22">
        <v>6.46</v>
      </c>
      <c r="R53" s="23">
        <v>1538.34</v>
      </c>
      <c r="S53" s="19">
        <v>2529</v>
      </c>
      <c r="T53" s="22">
        <v>257.01</v>
      </c>
      <c r="U53" s="22">
        <v>9.84</v>
      </c>
      <c r="V5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W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X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Y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Z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6" x14ac:dyDescent="0.3">
      <c r="B54" s="19">
        <v>49</v>
      </c>
      <c r="C54" s="20" t="s">
        <v>75</v>
      </c>
      <c r="D54" s="20" t="s">
        <v>80</v>
      </c>
      <c r="E54" s="20">
        <v>13</v>
      </c>
      <c r="F54" s="20" t="s">
        <v>36</v>
      </c>
      <c r="G54" s="20" t="s">
        <v>87</v>
      </c>
      <c r="H54" s="21" t="s">
        <v>82</v>
      </c>
      <c r="I54" s="21" t="s">
        <v>82</v>
      </c>
      <c r="J54" s="21" t="s">
        <v>32</v>
      </c>
      <c r="K54" s="32"/>
      <c r="L54" s="29"/>
      <c r="M54" s="33"/>
      <c r="N54" s="22">
        <v>69.31</v>
      </c>
      <c r="O54" s="19">
        <v>22812</v>
      </c>
      <c r="P54" s="22">
        <v>632.5</v>
      </c>
      <c r="Q54" s="22">
        <v>36.07</v>
      </c>
      <c r="R54" s="23">
        <v>2268.8000000000002</v>
      </c>
      <c r="S54" s="19">
        <v>6201</v>
      </c>
      <c r="T54" s="22">
        <v>71.08</v>
      </c>
      <c r="U54" s="22">
        <v>87.23</v>
      </c>
      <c r="V5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W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X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Y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Z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6" x14ac:dyDescent="0.3">
      <c r="B55" s="19">
        <v>50</v>
      </c>
      <c r="C55" s="20" t="s">
        <v>75</v>
      </c>
      <c r="D55" s="20" t="s">
        <v>80</v>
      </c>
      <c r="E55" s="20">
        <v>14</v>
      </c>
      <c r="F55" s="20" t="s">
        <v>36</v>
      </c>
      <c r="G55" s="20" t="s">
        <v>88</v>
      </c>
      <c r="H55" s="21" t="s">
        <v>89</v>
      </c>
      <c r="I55" s="21" t="s">
        <v>89</v>
      </c>
      <c r="J55" s="21" t="s">
        <v>32</v>
      </c>
      <c r="K55" s="32"/>
      <c r="L55" s="29"/>
      <c r="M55" s="33"/>
      <c r="N55" s="22">
        <v>82.88</v>
      </c>
      <c r="O55" s="19">
        <v>19421.07</v>
      </c>
      <c r="P55" s="22">
        <v>621.27</v>
      </c>
      <c r="Q55" s="22">
        <v>31.26</v>
      </c>
      <c r="R55" s="23">
        <v>2738.85</v>
      </c>
      <c r="S55" s="19">
        <v>5276.69</v>
      </c>
      <c r="T55" s="22">
        <v>69.19</v>
      </c>
      <c r="U55" s="22">
        <v>76.260000000000005</v>
      </c>
      <c r="V5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W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X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Y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Z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6" x14ac:dyDescent="0.3">
      <c r="B56" s="19">
        <v>51</v>
      </c>
      <c r="C56" s="20" t="s">
        <v>75</v>
      </c>
      <c r="D56" s="20" t="s">
        <v>80</v>
      </c>
      <c r="E56" s="20">
        <v>20</v>
      </c>
      <c r="F56" s="20" t="s">
        <v>259</v>
      </c>
      <c r="G56" s="20" t="s">
        <v>90</v>
      </c>
      <c r="H56" s="21"/>
      <c r="I56" s="21"/>
      <c r="J56" s="21"/>
      <c r="K56" s="32"/>
      <c r="L56" s="29"/>
      <c r="M56" s="33"/>
      <c r="N56" s="22">
        <v>107.39</v>
      </c>
      <c r="O56" s="19">
        <v>10395</v>
      </c>
      <c r="P56" s="22">
        <v>895.74</v>
      </c>
      <c r="Q56" s="22">
        <v>11.63</v>
      </c>
      <c r="R56" s="23">
        <v>838.17</v>
      </c>
      <c r="S56" s="19">
        <v>5030</v>
      </c>
      <c r="T56" s="22">
        <v>237.2</v>
      </c>
      <c r="U56" s="22">
        <v>21.21</v>
      </c>
      <c r="V5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W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X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Y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Z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6" x14ac:dyDescent="0.3">
      <c r="B57" s="19">
        <v>52</v>
      </c>
      <c r="C57" s="20" t="s">
        <v>75</v>
      </c>
      <c r="D57" s="20" t="s">
        <v>80</v>
      </c>
      <c r="E57" s="20">
        <v>36</v>
      </c>
      <c r="F57" s="20" t="s">
        <v>91</v>
      </c>
      <c r="G57" s="20" t="s">
        <v>92</v>
      </c>
      <c r="H57" s="21"/>
      <c r="I57" s="21"/>
      <c r="J57" s="21" t="s">
        <v>32</v>
      </c>
      <c r="K57" s="32"/>
      <c r="L57" s="29"/>
      <c r="M57" s="33"/>
      <c r="N57" s="22">
        <v>40.92</v>
      </c>
      <c r="O57" s="19">
        <v>24128.5</v>
      </c>
      <c r="P57" s="22">
        <v>1012.91</v>
      </c>
      <c r="Q57" s="22">
        <v>23.82</v>
      </c>
      <c r="R57" s="23">
        <v>451.85</v>
      </c>
      <c r="S57" s="19">
        <v>8980.59</v>
      </c>
      <c r="T57" s="22">
        <v>246.44</v>
      </c>
      <c r="U57" s="22">
        <v>36.44</v>
      </c>
      <c r="V5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W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X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Y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Z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6" x14ac:dyDescent="0.3">
      <c r="B58" s="19">
        <v>53</v>
      </c>
      <c r="C58" s="20" t="s">
        <v>75</v>
      </c>
      <c r="D58" s="20" t="s">
        <v>80</v>
      </c>
      <c r="E58" s="20">
        <v>49</v>
      </c>
      <c r="F58" s="20" t="s">
        <v>93</v>
      </c>
      <c r="G58" s="20" t="s">
        <v>81</v>
      </c>
      <c r="H58" s="21" t="s">
        <v>124</v>
      </c>
      <c r="I58" s="21"/>
      <c r="J58" s="21" t="s">
        <v>32</v>
      </c>
      <c r="K58" s="32"/>
      <c r="L58" s="29"/>
      <c r="M58" s="33"/>
      <c r="N58" s="22">
        <v>91.97</v>
      </c>
      <c r="O58" s="19">
        <v>9072</v>
      </c>
      <c r="P58" s="22">
        <v>1198.55</v>
      </c>
      <c r="Q58" s="22">
        <v>7.57</v>
      </c>
      <c r="R58" s="23">
        <v>935.44</v>
      </c>
      <c r="S58" s="19">
        <v>3335</v>
      </c>
      <c r="T58" s="22">
        <v>320.52999999999997</v>
      </c>
      <c r="U58" s="22">
        <v>10.41</v>
      </c>
      <c r="V5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W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X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Y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Z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6" x14ac:dyDescent="0.3">
      <c r="B59" s="19">
        <v>56</v>
      </c>
      <c r="C59" s="20" t="s">
        <v>75</v>
      </c>
      <c r="D59" s="20" t="s">
        <v>80</v>
      </c>
      <c r="E59" s="20">
        <v>57</v>
      </c>
      <c r="F59" s="20" t="s">
        <v>241</v>
      </c>
      <c r="G59" s="20" t="s">
        <v>94</v>
      </c>
      <c r="H59" s="21"/>
      <c r="I59" s="21" t="s">
        <v>95</v>
      </c>
      <c r="J59" s="21" t="s">
        <v>32</v>
      </c>
      <c r="K59" s="32"/>
      <c r="L59" s="29"/>
      <c r="M59" s="33"/>
      <c r="N59" s="22">
        <v>104.65</v>
      </c>
      <c r="O59" s="19">
        <v>13860.34</v>
      </c>
      <c r="P59" s="22">
        <v>689.41</v>
      </c>
      <c r="Q59" s="22">
        <v>20.100000000000001</v>
      </c>
      <c r="R59" s="23">
        <v>1370.41</v>
      </c>
      <c r="S59" s="19">
        <v>6344.53</v>
      </c>
      <c r="T59" s="22">
        <v>115.01</v>
      </c>
      <c r="U59" s="22">
        <v>55.16</v>
      </c>
      <c r="V5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W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X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Y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Z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6" x14ac:dyDescent="0.3">
      <c r="B60" s="19">
        <v>57</v>
      </c>
      <c r="C60" s="20" t="s">
        <v>75</v>
      </c>
      <c r="D60" s="20" t="s">
        <v>80</v>
      </c>
      <c r="E60" s="20">
        <v>60</v>
      </c>
      <c r="F60" s="20" t="s">
        <v>96</v>
      </c>
      <c r="G60" s="20" t="s">
        <v>94</v>
      </c>
      <c r="H60" s="21"/>
      <c r="I60" s="21"/>
      <c r="J60" s="21" t="s">
        <v>32</v>
      </c>
      <c r="K60" s="32"/>
      <c r="L60" s="29"/>
      <c r="M60" s="33"/>
      <c r="N60" s="22">
        <v>35.72</v>
      </c>
      <c r="O60" s="19">
        <v>27072.99</v>
      </c>
      <c r="P60" s="22">
        <v>1034.0899999999999</v>
      </c>
      <c r="Q60" s="22">
        <v>26.28</v>
      </c>
      <c r="R60" s="23">
        <v>447.21</v>
      </c>
      <c r="S60" s="19">
        <v>11189.89</v>
      </c>
      <c r="T60" s="22">
        <v>199.83</v>
      </c>
      <c r="U60" s="22">
        <v>56</v>
      </c>
      <c r="V6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W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X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Y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Z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6" x14ac:dyDescent="0.3">
      <c r="B61" s="19">
        <v>58</v>
      </c>
      <c r="C61" s="20" t="s">
        <v>75</v>
      </c>
      <c r="D61" s="20" t="s">
        <v>80</v>
      </c>
      <c r="E61" s="20">
        <v>60</v>
      </c>
      <c r="F61" s="20" t="s">
        <v>98</v>
      </c>
      <c r="G61" s="20" t="s">
        <v>94</v>
      </c>
      <c r="H61" s="21"/>
      <c r="I61" s="21"/>
      <c r="J61" s="21"/>
      <c r="K61" s="32"/>
      <c r="L61" s="29"/>
      <c r="M61" s="33"/>
      <c r="N61" s="22">
        <v>58.95</v>
      </c>
      <c r="O61" s="19">
        <v>13379.46</v>
      </c>
      <c r="P61" s="22">
        <v>1267.9000000000001</v>
      </c>
      <c r="Q61" s="22">
        <v>10.55</v>
      </c>
      <c r="R61" s="23">
        <v>184.8</v>
      </c>
      <c r="S61" s="19">
        <v>9015.32</v>
      </c>
      <c r="T61" s="22">
        <v>600.22</v>
      </c>
      <c r="U61" s="22">
        <v>15.02</v>
      </c>
      <c r="V6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W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X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Y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Z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6" x14ac:dyDescent="0.3">
      <c r="B62" s="19">
        <v>59</v>
      </c>
      <c r="C62" s="20" t="s">
        <v>50</v>
      </c>
      <c r="D62" s="20" t="s">
        <v>80</v>
      </c>
      <c r="E62" s="20">
        <v>39</v>
      </c>
      <c r="F62" s="20" t="s">
        <v>99</v>
      </c>
      <c r="G62" s="20" t="s">
        <v>100</v>
      </c>
      <c r="H62" s="21"/>
      <c r="I62" s="21"/>
      <c r="J62" s="21" t="s">
        <v>32</v>
      </c>
      <c r="K62" s="32"/>
      <c r="L62" s="29"/>
      <c r="M62" s="33"/>
      <c r="N62" s="22">
        <v>41.74</v>
      </c>
      <c r="O62" s="19">
        <v>30535</v>
      </c>
      <c r="P62" s="22">
        <v>784.57</v>
      </c>
      <c r="Q62" s="22">
        <v>38.92</v>
      </c>
      <c r="R62" s="23">
        <v>768.82</v>
      </c>
      <c r="S62" s="19">
        <v>11691</v>
      </c>
      <c r="T62" s="22">
        <v>111.26</v>
      </c>
      <c r="U62" s="22">
        <v>105.08</v>
      </c>
      <c r="V6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W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X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Y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Z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6" x14ac:dyDescent="0.3">
      <c r="B63" s="19">
        <v>60</v>
      </c>
      <c r="C63" s="20" t="s">
        <v>75</v>
      </c>
      <c r="D63" s="20" t="s">
        <v>80</v>
      </c>
      <c r="E63" s="20">
        <v>63</v>
      </c>
      <c r="F63" s="20" t="s">
        <v>102</v>
      </c>
      <c r="G63" s="20" t="s">
        <v>103</v>
      </c>
      <c r="H63" s="21"/>
      <c r="I63" s="21"/>
      <c r="J63" s="21" t="s">
        <v>32</v>
      </c>
      <c r="K63" s="32"/>
      <c r="L63" s="29"/>
      <c r="M63" s="33"/>
      <c r="N63" s="22">
        <v>37.380000000000003</v>
      </c>
      <c r="O63" s="19">
        <v>18966</v>
      </c>
      <c r="P63" s="22">
        <v>1410.7</v>
      </c>
      <c r="Q63" s="22">
        <v>13.44</v>
      </c>
      <c r="R63" s="23">
        <v>177.27</v>
      </c>
      <c r="S63" s="19">
        <v>10172</v>
      </c>
      <c r="T63" s="22">
        <v>554.55999999999995</v>
      </c>
      <c r="U63" s="22">
        <v>18.34</v>
      </c>
      <c r="V6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W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X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Y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Z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6" x14ac:dyDescent="0.3">
      <c r="B64" s="19">
        <v>61</v>
      </c>
      <c r="C64" s="20" t="s">
        <v>75</v>
      </c>
      <c r="D64" s="20" t="s">
        <v>80</v>
      </c>
      <c r="E64" s="20">
        <v>83</v>
      </c>
      <c r="F64" s="20" t="s">
        <v>93</v>
      </c>
      <c r="G64" s="20" t="s">
        <v>104</v>
      </c>
      <c r="H64" s="21" t="s">
        <v>108</v>
      </c>
      <c r="I64" s="21"/>
      <c r="J64" s="21" t="s">
        <v>32</v>
      </c>
      <c r="K64" s="32"/>
      <c r="L64" s="29"/>
      <c r="M64" s="33"/>
      <c r="N64" s="22">
        <v>43.45</v>
      </c>
      <c r="O64" s="19">
        <v>19568</v>
      </c>
      <c r="P64" s="22">
        <v>1239.32</v>
      </c>
      <c r="Q64" s="22">
        <v>14.98</v>
      </c>
      <c r="R64" s="23">
        <v>458.58</v>
      </c>
      <c r="S64" s="19">
        <v>5880</v>
      </c>
      <c r="T64" s="22">
        <v>370.88</v>
      </c>
      <c r="U64" s="22">
        <v>15.85</v>
      </c>
      <c r="V6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W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X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Y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Z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6" x14ac:dyDescent="0.3">
      <c r="B65" s="19">
        <v>62</v>
      </c>
      <c r="C65" s="20" t="s">
        <v>75</v>
      </c>
      <c r="D65" s="20" t="s">
        <v>80</v>
      </c>
      <c r="E65" s="20">
        <v>102</v>
      </c>
      <c r="F65" s="20" t="s">
        <v>106</v>
      </c>
      <c r="G65" s="20" t="s">
        <v>105</v>
      </c>
      <c r="H65" s="21"/>
      <c r="I65" s="21"/>
      <c r="J65" s="21" t="s">
        <v>32</v>
      </c>
      <c r="K65" s="32"/>
      <c r="L65" s="29"/>
      <c r="M65" s="33"/>
      <c r="N65" s="22">
        <v>28.37</v>
      </c>
      <c r="O65" s="19">
        <v>30292</v>
      </c>
      <c r="P65" s="22">
        <v>1163.82</v>
      </c>
      <c r="Q65" s="22">
        <v>26.03</v>
      </c>
      <c r="R65" s="23">
        <v>226.44</v>
      </c>
      <c r="S65" s="19">
        <v>17714</v>
      </c>
      <c r="T65" s="22">
        <v>249.31</v>
      </c>
      <c r="U65" s="22">
        <v>71.05</v>
      </c>
      <c r="V6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W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X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Y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Z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6" x14ac:dyDescent="0.3">
      <c r="B66" s="19">
        <v>63</v>
      </c>
      <c r="C66" s="20" t="s">
        <v>75</v>
      </c>
      <c r="D66" s="20" t="s">
        <v>80</v>
      </c>
      <c r="E66" s="20">
        <v>102</v>
      </c>
      <c r="F66" s="20" t="s">
        <v>107</v>
      </c>
      <c r="G66" s="20" t="s">
        <v>105</v>
      </c>
      <c r="H66" s="21"/>
      <c r="I66" s="21"/>
      <c r="J66" s="21"/>
      <c r="K66" s="32"/>
      <c r="L66" s="29"/>
      <c r="M66" s="33"/>
      <c r="N66" s="22">
        <v>112.03</v>
      </c>
      <c r="O66" s="19">
        <v>6987</v>
      </c>
      <c r="P66" s="22">
        <v>1277.45</v>
      </c>
      <c r="Q66" s="22">
        <v>5.47</v>
      </c>
      <c r="R66" s="23">
        <v>388.05</v>
      </c>
      <c r="S66" s="19">
        <v>4965</v>
      </c>
      <c r="T66" s="22">
        <v>519.01</v>
      </c>
      <c r="U66" s="22">
        <v>9.57</v>
      </c>
      <c r="V6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W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X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Y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Z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6" x14ac:dyDescent="0.3">
      <c r="B67" s="19">
        <v>64</v>
      </c>
      <c r="C67" s="20" t="s">
        <v>75</v>
      </c>
      <c r="D67" s="20" t="s">
        <v>80</v>
      </c>
      <c r="E67" s="20">
        <v>112</v>
      </c>
      <c r="F67" s="20" t="s">
        <v>36</v>
      </c>
      <c r="G67" s="20" t="s">
        <v>109</v>
      </c>
      <c r="H67" s="21" t="s">
        <v>110</v>
      </c>
      <c r="I67" s="21"/>
      <c r="J67" s="21" t="s">
        <v>32</v>
      </c>
      <c r="K67" s="32"/>
      <c r="L67" s="29"/>
      <c r="M67" s="33"/>
      <c r="N67" s="22">
        <v>54.07</v>
      </c>
      <c r="O67" s="19">
        <v>29484.61</v>
      </c>
      <c r="P67" s="22">
        <v>627.24</v>
      </c>
      <c r="Q67" s="22">
        <v>47.01</v>
      </c>
      <c r="R67" s="23">
        <v>1920.89</v>
      </c>
      <c r="S67" s="19">
        <v>7361.79</v>
      </c>
      <c r="T67" s="22">
        <v>70.72</v>
      </c>
      <c r="U67" s="22">
        <v>104.1</v>
      </c>
      <c r="V6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W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X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Y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Z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6" x14ac:dyDescent="0.3">
      <c r="B68" s="19">
        <v>65</v>
      </c>
      <c r="C68" s="20" t="s">
        <v>75</v>
      </c>
      <c r="D68" s="20" t="s">
        <v>77</v>
      </c>
      <c r="E68" s="20">
        <v>190</v>
      </c>
      <c r="F68" s="20" t="s">
        <v>260</v>
      </c>
      <c r="G68" s="20" t="s">
        <v>12</v>
      </c>
      <c r="H68" s="21" t="s">
        <v>18</v>
      </c>
      <c r="I68" s="21" t="s">
        <v>46</v>
      </c>
      <c r="J68" s="21" t="s">
        <v>32</v>
      </c>
      <c r="K68" s="32"/>
      <c r="L68" s="29"/>
      <c r="M68" s="33"/>
      <c r="N68" s="22">
        <v>256</v>
      </c>
      <c r="O68" s="19">
        <v>5293</v>
      </c>
      <c r="P68" s="22">
        <v>737.97</v>
      </c>
      <c r="Q68" s="22">
        <v>7.17</v>
      </c>
      <c r="R68" s="23">
        <v>4673.21</v>
      </c>
      <c r="S68" s="19">
        <v>2530</v>
      </c>
      <c r="T68" s="22">
        <v>84.58</v>
      </c>
      <c r="U68" s="22">
        <v>29.91</v>
      </c>
      <c r="V6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W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X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Y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Z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6" x14ac:dyDescent="0.3">
      <c r="B69" s="19">
        <v>66</v>
      </c>
      <c r="C69" s="20" t="s">
        <v>101</v>
      </c>
      <c r="D69" s="20" t="s">
        <v>77</v>
      </c>
      <c r="E69" s="20">
        <v>204</v>
      </c>
      <c r="F69" s="20" t="s">
        <v>66</v>
      </c>
      <c r="G69" s="20" t="s">
        <v>69</v>
      </c>
      <c r="H69" s="21"/>
      <c r="I69" s="21"/>
      <c r="J69" s="21"/>
      <c r="K69" s="32"/>
      <c r="L69" s="29"/>
      <c r="M69" s="33"/>
      <c r="N69" s="22">
        <v>77.22</v>
      </c>
      <c r="O69" s="19">
        <v>24558</v>
      </c>
      <c r="P69" s="22">
        <v>527.33000000000004</v>
      </c>
      <c r="Q69" s="22">
        <v>46.57</v>
      </c>
      <c r="R69" s="23">
        <v>2341.54</v>
      </c>
      <c r="S69" s="19">
        <v>6777</v>
      </c>
      <c r="T69" s="22">
        <v>63.01</v>
      </c>
      <c r="U69" s="22">
        <v>107.56</v>
      </c>
      <c r="V6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W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X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Y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Z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6" x14ac:dyDescent="0.3">
      <c r="B70" s="19">
        <v>67</v>
      </c>
      <c r="C70" s="20" t="s">
        <v>101</v>
      </c>
      <c r="D70" s="20" t="s">
        <v>80</v>
      </c>
      <c r="E70" s="20">
        <v>132</v>
      </c>
      <c r="F70" s="20" t="s">
        <v>93</v>
      </c>
      <c r="G70" s="20" t="s">
        <v>86</v>
      </c>
      <c r="H70" s="21" t="s">
        <v>118</v>
      </c>
      <c r="I70" s="21" t="s">
        <v>125</v>
      </c>
      <c r="J70" s="21" t="s">
        <v>32</v>
      </c>
      <c r="K70" s="32"/>
      <c r="L70" s="29"/>
      <c r="M70" s="33"/>
      <c r="N70" s="22">
        <v>180.54</v>
      </c>
      <c r="O70" s="19">
        <v>5863</v>
      </c>
      <c r="P70" s="22">
        <v>944.68</v>
      </c>
      <c r="Q70" s="22">
        <v>6.21</v>
      </c>
      <c r="R70" s="23">
        <v>1709.41</v>
      </c>
      <c r="S70" s="19">
        <v>2399</v>
      </c>
      <c r="T70" s="22">
        <v>243.84</v>
      </c>
      <c r="U70" s="22">
        <v>9.84</v>
      </c>
      <c r="V7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W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X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Y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Z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6" x14ac:dyDescent="0.3">
      <c r="B71" s="19">
        <v>68</v>
      </c>
      <c r="C71" s="20" t="s">
        <v>75</v>
      </c>
      <c r="D71" s="20" t="s">
        <v>80</v>
      </c>
      <c r="E71" s="20">
        <v>118</v>
      </c>
      <c r="F71" s="20" t="s">
        <v>122</v>
      </c>
      <c r="G71" s="20" t="s">
        <v>119</v>
      </c>
      <c r="H71" s="21" t="s">
        <v>121</v>
      </c>
      <c r="I71" s="21" t="s">
        <v>120</v>
      </c>
      <c r="J71" s="21" t="s">
        <v>32</v>
      </c>
      <c r="K71" s="32"/>
      <c r="L71" s="29"/>
      <c r="M71" s="33"/>
      <c r="N71" s="22">
        <v>147.47999999999999</v>
      </c>
      <c r="O71" s="19">
        <v>12519</v>
      </c>
      <c r="P71" s="22">
        <v>541.62</v>
      </c>
      <c r="Q71" s="22">
        <v>23.11</v>
      </c>
      <c r="R71" s="23">
        <v>2564.7600000000002</v>
      </c>
      <c r="S71" s="19">
        <v>3825</v>
      </c>
      <c r="T71" s="22">
        <v>101.94</v>
      </c>
      <c r="U71" s="22">
        <v>37.520000000000003</v>
      </c>
      <c r="V7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W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X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Y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Z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6" x14ac:dyDescent="0.3">
      <c r="B72" s="19">
        <v>69</v>
      </c>
      <c r="C72" s="20" t="s">
        <v>101</v>
      </c>
      <c r="D72" s="20" t="s">
        <v>80</v>
      </c>
      <c r="E72" s="20">
        <v>137</v>
      </c>
      <c r="F72" s="20" t="s">
        <v>93</v>
      </c>
      <c r="G72" s="20" t="s">
        <v>104</v>
      </c>
      <c r="H72" s="21"/>
      <c r="I72" s="21"/>
      <c r="J72" s="21" t="s">
        <v>32</v>
      </c>
      <c r="K72" s="32"/>
      <c r="L72" s="29"/>
      <c r="M72" s="33"/>
      <c r="N72" s="22">
        <v>35.340000000000003</v>
      </c>
      <c r="O72" s="19">
        <v>20603</v>
      </c>
      <c r="P72" s="22">
        <v>1373.38</v>
      </c>
      <c r="Q72" s="22">
        <v>15</v>
      </c>
      <c r="R72" s="23">
        <v>443.88</v>
      </c>
      <c r="S72" s="19">
        <v>6048</v>
      </c>
      <c r="T72" s="22">
        <v>372.52</v>
      </c>
      <c r="U72" s="22">
        <v>16.23</v>
      </c>
      <c r="V7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W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X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Y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Z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6" x14ac:dyDescent="0.3">
      <c r="B73" s="19">
        <v>70</v>
      </c>
      <c r="C73" s="20" t="s">
        <v>101</v>
      </c>
      <c r="D73" s="20" t="s">
        <v>80</v>
      </c>
      <c r="E73" s="20">
        <v>140</v>
      </c>
      <c r="F73" s="20" t="s">
        <v>93</v>
      </c>
      <c r="G73" s="20" t="s">
        <v>81</v>
      </c>
      <c r="H73" s="21" t="s">
        <v>123</v>
      </c>
      <c r="I73" s="21"/>
      <c r="J73" s="21" t="s">
        <v>32</v>
      </c>
      <c r="K73" s="32"/>
      <c r="L73" s="29"/>
      <c r="M73" s="33"/>
      <c r="N73" s="22">
        <v>144.37</v>
      </c>
      <c r="O73" s="19">
        <v>6717</v>
      </c>
      <c r="P73" s="22">
        <v>1031.19</v>
      </c>
      <c r="Q73" s="22">
        <v>6.51</v>
      </c>
      <c r="R73" s="23">
        <v>1517.62</v>
      </c>
      <c r="S73" s="19">
        <v>2129</v>
      </c>
      <c r="T73" s="22">
        <v>309.45999999999998</v>
      </c>
      <c r="U73" s="22">
        <v>6.88</v>
      </c>
      <c r="V7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W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X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Y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Z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6" x14ac:dyDescent="0.3">
      <c r="B74" s="19">
        <v>71</v>
      </c>
      <c r="C74" s="20" t="s">
        <v>101</v>
      </c>
      <c r="D74" s="20" t="s">
        <v>80</v>
      </c>
      <c r="E74" s="20">
        <v>143</v>
      </c>
      <c r="F74" s="20" t="s">
        <v>241</v>
      </c>
      <c r="G74" s="20" t="s">
        <v>94</v>
      </c>
      <c r="H74" s="21"/>
      <c r="I74" s="21"/>
      <c r="J74" s="21"/>
      <c r="K74" s="32"/>
      <c r="L74" s="29"/>
      <c r="M74" s="33"/>
      <c r="N74" s="22">
        <v>111.07</v>
      </c>
      <c r="O74" s="19">
        <v>13062.5</v>
      </c>
      <c r="P74" s="22">
        <v>689.24</v>
      </c>
      <c r="Q74" s="22">
        <v>18.95</v>
      </c>
      <c r="R74" s="23">
        <v>1535</v>
      </c>
      <c r="S74" s="19">
        <f>27143.22/5</f>
        <v>5428.6440000000002</v>
      </c>
      <c r="T74" s="22">
        <v>120</v>
      </c>
      <c r="U74" s="22">
        <v>45.24</v>
      </c>
      <c r="V7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W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X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Y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Z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6" x14ac:dyDescent="0.3">
      <c r="B75" s="19">
        <v>72</v>
      </c>
      <c r="C75" s="20" t="s">
        <v>101</v>
      </c>
      <c r="D75" s="20" t="s">
        <v>80</v>
      </c>
      <c r="E75" s="20">
        <v>149</v>
      </c>
      <c r="F75" s="20" t="s">
        <v>126</v>
      </c>
      <c r="G75" s="20" t="s">
        <v>127</v>
      </c>
      <c r="H75" s="21"/>
      <c r="I75" s="21"/>
      <c r="J75" s="21" t="s">
        <v>32</v>
      </c>
      <c r="K75" s="32"/>
      <c r="L75" s="29"/>
      <c r="M75" s="33"/>
      <c r="N75" s="22">
        <v>50.22</v>
      </c>
      <c r="O75" s="19">
        <v>25952</v>
      </c>
      <c r="P75" s="22">
        <v>767.28</v>
      </c>
      <c r="Q75" s="22">
        <v>33.82</v>
      </c>
      <c r="R75" s="23">
        <v>1502.87</v>
      </c>
      <c r="S75" s="19">
        <v>7620</v>
      </c>
      <c r="T75" s="22">
        <v>87.32</v>
      </c>
      <c r="U75" s="22">
        <v>87.26</v>
      </c>
      <c r="V7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W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X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Y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Z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6" x14ac:dyDescent="0.3">
      <c r="B76" s="19">
        <v>73</v>
      </c>
      <c r="C76" s="20" t="s">
        <v>101</v>
      </c>
      <c r="D76" s="20" t="s">
        <v>80</v>
      </c>
      <c r="E76" s="20">
        <v>152</v>
      </c>
      <c r="F76" s="20" t="s">
        <v>93</v>
      </c>
      <c r="G76" s="20" t="s">
        <v>127</v>
      </c>
      <c r="H76" s="21" t="s">
        <v>128</v>
      </c>
      <c r="I76" s="21"/>
      <c r="J76" s="21"/>
      <c r="K76" s="32"/>
      <c r="L76" s="29"/>
      <c r="M76" s="33"/>
      <c r="N76" s="22">
        <v>78.09</v>
      </c>
      <c r="O76" s="19">
        <v>13745</v>
      </c>
      <c r="P76" s="22">
        <v>931.73</v>
      </c>
      <c r="Q76" s="22">
        <v>14.75</v>
      </c>
      <c r="R76" s="23">
        <v>590.89</v>
      </c>
      <c r="S76" s="19">
        <v>5238</v>
      </c>
      <c r="T76" s="22">
        <v>323.11</v>
      </c>
      <c r="U76" s="22">
        <v>16.21</v>
      </c>
      <c r="V7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W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X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Y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Z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6" x14ac:dyDescent="0.3">
      <c r="B77" s="19">
        <v>74</v>
      </c>
      <c r="C77" s="20" t="s">
        <v>101</v>
      </c>
      <c r="D77" s="20" t="s">
        <v>77</v>
      </c>
      <c r="E77" s="20">
        <v>205</v>
      </c>
      <c r="F77" s="20" t="s">
        <v>250</v>
      </c>
      <c r="G77" s="20" t="s">
        <v>8</v>
      </c>
      <c r="H77" s="21"/>
      <c r="I77" s="21"/>
      <c r="J77" s="21"/>
      <c r="K77" s="32"/>
      <c r="L77" s="29"/>
      <c r="M77" s="33"/>
      <c r="N77" s="22">
        <v>190</v>
      </c>
      <c r="O77" s="19">
        <v>7302.14</v>
      </c>
      <c r="P77" s="22">
        <v>720.78</v>
      </c>
      <c r="Q77" s="22">
        <v>10.130000000000001</v>
      </c>
      <c r="R77" s="23">
        <v>2061.89</v>
      </c>
      <c r="S77" s="19">
        <f>10894.91/4</f>
        <v>2723.7275</v>
      </c>
      <c r="T77" s="22">
        <f>712.25/4</f>
        <v>178.0625</v>
      </c>
      <c r="U77" s="22">
        <v>15.3</v>
      </c>
      <c r="V7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W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X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Y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Z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6" x14ac:dyDescent="0.3">
      <c r="B78" s="19">
        <v>75</v>
      </c>
      <c r="C78" s="20" t="s">
        <v>101</v>
      </c>
      <c r="D78" s="20" t="s">
        <v>77</v>
      </c>
      <c r="E78" s="20">
        <v>212</v>
      </c>
      <c r="F78" s="20" t="s">
        <v>129</v>
      </c>
      <c r="G78" s="20" t="s">
        <v>130</v>
      </c>
      <c r="H78" s="21"/>
      <c r="I78" s="21"/>
      <c r="J78" s="21"/>
      <c r="K78" s="32"/>
      <c r="L78" s="29"/>
      <c r="M78" s="33"/>
      <c r="N78" s="22">
        <v>126.49</v>
      </c>
      <c r="O78" s="19">
        <v>7799</v>
      </c>
      <c r="P78" s="22">
        <v>1013.61</v>
      </c>
      <c r="Q78" s="22">
        <v>7.69</v>
      </c>
      <c r="R78" s="23">
        <v>1216.69</v>
      </c>
      <c r="S78" s="19">
        <v>2588</v>
      </c>
      <c r="T78" s="22">
        <v>317.62</v>
      </c>
      <c r="U78" s="22">
        <v>8.15</v>
      </c>
      <c r="V7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W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X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Y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Z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6" x14ac:dyDescent="0.3">
      <c r="B79" s="19">
        <v>76</v>
      </c>
      <c r="C79" s="20" t="s">
        <v>101</v>
      </c>
      <c r="D79" s="20" t="s">
        <v>80</v>
      </c>
      <c r="E79" s="20">
        <v>173</v>
      </c>
      <c r="F79" s="20" t="s">
        <v>85</v>
      </c>
      <c r="G79" s="20" t="s">
        <v>131</v>
      </c>
      <c r="H79" s="21"/>
      <c r="I79" s="21"/>
      <c r="J79" s="21"/>
      <c r="K79" s="32"/>
      <c r="L79" s="29"/>
      <c r="M79" s="33"/>
      <c r="N79" s="22">
        <v>94.92</v>
      </c>
      <c r="O79" s="19">
        <v>20057.62</v>
      </c>
      <c r="P79" s="22">
        <v>525.22</v>
      </c>
      <c r="Q79" s="22">
        <v>38.19</v>
      </c>
      <c r="R79" s="23">
        <v>2098.9899999999998</v>
      </c>
      <c r="S79" s="19">
        <f>46962.81/8</f>
        <v>5870.3512499999997</v>
      </c>
      <c r="T79" s="22">
        <f>649.26/8</f>
        <v>81.157499999999999</v>
      </c>
      <c r="U79" s="22">
        <v>72.33</v>
      </c>
      <c r="V7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W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X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Y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Z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6" x14ac:dyDescent="0.3">
      <c r="B80" s="19">
        <v>77</v>
      </c>
      <c r="C80" s="20" t="s">
        <v>101</v>
      </c>
      <c r="D80" s="20" t="s">
        <v>77</v>
      </c>
      <c r="E80" s="20">
        <v>234</v>
      </c>
      <c r="F80" s="20" t="s">
        <v>261</v>
      </c>
      <c r="G80" s="20" t="s">
        <v>132</v>
      </c>
      <c r="H80" s="21"/>
      <c r="I80" s="21"/>
      <c r="J80" s="21"/>
      <c r="K80" s="32"/>
      <c r="L80" s="29"/>
      <c r="M80" s="33"/>
      <c r="N80" s="22">
        <v>210.66</v>
      </c>
      <c r="O80" s="19">
        <v>8085</v>
      </c>
      <c r="P80" s="22">
        <v>587.17999999999995</v>
      </c>
      <c r="Q80" s="22">
        <v>13.77</v>
      </c>
      <c r="R80" s="23">
        <v>3492.77</v>
      </c>
      <c r="S80" s="19">
        <v>3775</v>
      </c>
      <c r="T80" s="22">
        <v>75.84</v>
      </c>
      <c r="U80" s="22">
        <v>49.77</v>
      </c>
      <c r="V8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W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X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Y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Z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6" x14ac:dyDescent="0.3">
      <c r="B81" s="19">
        <v>78</v>
      </c>
      <c r="C81" s="20" t="s">
        <v>101</v>
      </c>
      <c r="D81" s="20" t="s">
        <v>77</v>
      </c>
      <c r="E81" s="20">
        <v>241</v>
      </c>
      <c r="F81" s="20" t="s">
        <v>85</v>
      </c>
      <c r="G81" s="20" t="s">
        <v>133</v>
      </c>
      <c r="H81" s="21"/>
      <c r="I81" s="21"/>
      <c r="J81" s="21" t="s">
        <v>32</v>
      </c>
      <c r="K81" s="32"/>
      <c r="L81" s="29"/>
      <c r="M81" s="33"/>
      <c r="N81" s="22">
        <v>78.38</v>
      </c>
      <c r="O81" s="19">
        <v>23969.25</v>
      </c>
      <c r="P81" s="22">
        <v>532.30999999999995</v>
      </c>
      <c r="Q81" s="22">
        <v>45.03</v>
      </c>
      <c r="R81" s="23">
        <v>2001.77</v>
      </c>
      <c r="S81" s="19">
        <v>6042</v>
      </c>
      <c r="T81" s="22">
        <v>82.7</v>
      </c>
      <c r="U81" s="22">
        <v>73.08</v>
      </c>
      <c r="V8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W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X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Y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Z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6" x14ac:dyDescent="0.3">
      <c r="B82" s="19">
        <v>79</v>
      </c>
      <c r="C82" s="20" t="s">
        <v>134</v>
      </c>
      <c r="D82" s="20" t="s">
        <v>77</v>
      </c>
      <c r="E82" s="20">
        <v>242</v>
      </c>
      <c r="F82" s="20" t="s">
        <v>135</v>
      </c>
      <c r="G82" s="20" t="s">
        <v>136</v>
      </c>
      <c r="H82" s="21"/>
      <c r="I82" s="21"/>
      <c r="J82" s="21"/>
      <c r="K82" s="32"/>
      <c r="L82" s="29"/>
      <c r="M82" s="33"/>
      <c r="N82" s="22">
        <v>95.02</v>
      </c>
      <c r="O82" s="19">
        <v>8577.2000000000007</v>
      </c>
      <c r="P82" s="22">
        <v>1227</v>
      </c>
      <c r="Q82" s="22">
        <v>6.99</v>
      </c>
      <c r="R82" s="23">
        <v>512.39</v>
      </c>
      <c r="S82" s="19">
        <f>7406.61/2</f>
        <v>3703.3049999999998</v>
      </c>
      <c r="T82" s="22">
        <f>1054/2</f>
        <v>527</v>
      </c>
      <c r="U82" s="22">
        <v>7.03</v>
      </c>
      <c r="V8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W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X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Y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Z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6" x14ac:dyDescent="0.3">
      <c r="B83" s="19">
        <v>80</v>
      </c>
      <c r="C83" s="20" t="s">
        <v>134</v>
      </c>
      <c r="D83" s="20" t="s">
        <v>77</v>
      </c>
      <c r="E83" s="20">
        <v>244</v>
      </c>
      <c r="F83" s="20" t="s">
        <v>138</v>
      </c>
      <c r="G83" s="20" t="s">
        <v>137</v>
      </c>
      <c r="H83" s="21"/>
      <c r="I83" s="21"/>
      <c r="J83" s="21"/>
      <c r="K83" s="32"/>
      <c r="L83" s="29"/>
      <c r="M83" s="33"/>
      <c r="N83" s="22">
        <v>65.849999999999994</v>
      </c>
      <c r="O83" s="19">
        <v>9505</v>
      </c>
      <c r="P83" s="22">
        <v>1597.64</v>
      </c>
      <c r="Q83" s="22">
        <v>5.95</v>
      </c>
      <c r="R83" s="23">
        <v>287.18</v>
      </c>
      <c r="S83" s="19">
        <v>4550</v>
      </c>
      <c r="T83" s="22">
        <v>765.23</v>
      </c>
      <c r="U83" s="22">
        <v>5.95</v>
      </c>
      <c r="V8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W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X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Y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Z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6" x14ac:dyDescent="0.3">
      <c r="B84" s="19">
        <v>81</v>
      </c>
      <c r="C84" s="20" t="s">
        <v>101</v>
      </c>
      <c r="D84" s="20" t="s">
        <v>80</v>
      </c>
      <c r="E84" s="20">
        <v>178</v>
      </c>
      <c r="F84" s="20" t="s">
        <v>252</v>
      </c>
      <c r="G84" s="20" t="s">
        <v>139</v>
      </c>
      <c r="H84" s="21"/>
      <c r="I84" s="21"/>
      <c r="J84" s="21"/>
      <c r="K84" s="32"/>
      <c r="L84" s="29"/>
      <c r="M84" s="33"/>
      <c r="N84" s="22">
        <v>188.44</v>
      </c>
      <c r="O84" s="19">
        <v>6349.88</v>
      </c>
      <c r="P84" s="22">
        <v>835.72</v>
      </c>
      <c r="Q84" s="22">
        <v>7.6</v>
      </c>
      <c r="R84" s="23">
        <v>1513.55</v>
      </c>
      <c r="S84" s="19">
        <f>16300.78/4</f>
        <v>4075.1950000000002</v>
      </c>
      <c r="T84" s="22">
        <f>648.51/4</f>
        <v>162.1275</v>
      </c>
      <c r="U84" s="22">
        <v>25.14</v>
      </c>
      <c r="V8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W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X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Y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Z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6" x14ac:dyDescent="0.3">
      <c r="B85" s="19">
        <v>82</v>
      </c>
      <c r="C85" s="20" t="s">
        <v>101</v>
      </c>
      <c r="D85" s="20" t="s">
        <v>80</v>
      </c>
      <c r="E85" s="20">
        <v>181</v>
      </c>
      <c r="F85" s="20" t="s">
        <v>43</v>
      </c>
      <c r="G85" s="20" t="s">
        <v>140</v>
      </c>
      <c r="H85" s="21"/>
      <c r="I85" s="21"/>
      <c r="J85" s="21"/>
      <c r="K85" s="32"/>
      <c r="L85" s="29"/>
      <c r="M85" s="33"/>
      <c r="N85" s="22">
        <v>155.84</v>
      </c>
      <c r="O85" s="19">
        <v>11590</v>
      </c>
      <c r="P85" s="22">
        <v>553.66999999999996</v>
      </c>
      <c r="Q85" s="22">
        <v>20.93</v>
      </c>
      <c r="R85" s="23">
        <v>1136.33</v>
      </c>
      <c r="S85" s="19">
        <v>5208</v>
      </c>
      <c r="T85" s="22">
        <v>168.99</v>
      </c>
      <c r="U85" s="22">
        <v>30.82</v>
      </c>
      <c r="V8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W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X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Y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Z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6" x14ac:dyDescent="0.3">
      <c r="B86" s="19">
        <v>83</v>
      </c>
      <c r="C86" s="20" t="s">
        <v>134</v>
      </c>
      <c r="D86" s="20" t="s">
        <v>80</v>
      </c>
      <c r="E86" s="20">
        <v>184</v>
      </c>
      <c r="F86" s="20" t="s">
        <v>234</v>
      </c>
      <c r="G86" s="20" t="s">
        <v>131</v>
      </c>
      <c r="H86" s="21"/>
      <c r="I86" s="21"/>
      <c r="J86" s="21"/>
      <c r="K86" s="32"/>
      <c r="L86" s="29"/>
      <c r="M86" s="33"/>
      <c r="N86" s="22">
        <v>83.47</v>
      </c>
      <c r="O86" s="19">
        <v>20987</v>
      </c>
      <c r="P86" s="22">
        <v>570.83000000000004</v>
      </c>
      <c r="Q86" s="22">
        <v>36.770000000000003</v>
      </c>
      <c r="R86" s="23">
        <v>1480.21</v>
      </c>
      <c r="S86" s="19">
        <v>6750</v>
      </c>
      <c r="T86" s="22">
        <v>100.09</v>
      </c>
      <c r="U86" s="22">
        <v>67.44</v>
      </c>
      <c r="V8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W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X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Y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Z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6" x14ac:dyDescent="0.3">
      <c r="B87" s="19">
        <v>84</v>
      </c>
      <c r="C87" s="20" t="s">
        <v>134</v>
      </c>
      <c r="D87" s="20" t="s">
        <v>77</v>
      </c>
      <c r="E87" s="20">
        <v>257</v>
      </c>
      <c r="F87" s="20" t="s">
        <v>235</v>
      </c>
      <c r="G87" s="20" t="s">
        <v>141</v>
      </c>
      <c r="H87" s="21"/>
      <c r="I87" s="21"/>
      <c r="J87" s="21"/>
      <c r="K87" s="32"/>
      <c r="L87" s="29"/>
      <c r="M87" s="33"/>
      <c r="N87" s="22">
        <v>83.97</v>
      </c>
      <c r="O87" s="19">
        <v>23458.63</v>
      </c>
      <c r="P87" s="22">
        <v>507.64</v>
      </c>
      <c r="Q87" s="22">
        <v>46.21</v>
      </c>
      <c r="R87" s="23">
        <v>1887.59</v>
      </c>
      <c r="S87" s="19">
        <f>82414.33/10</f>
        <v>8241.4330000000009</v>
      </c>
      <c r="T87" s="22">
        <f>642.82/10</f>
        <v>64.282000000000011</v>
      </c>
      <c r="U87" s="22">
        <v>128.21</v>
      </c>
      <c r="V8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W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X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Y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Z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6" x14ac:dyDescent="0.3">
      <c r="B88" s="19">
        <v>85</v>
      </c>
      <c r="C88" s="20" t="s">
        <v>134</v>
      </c>
      <c r="D88" s="20" t="s">
        <v>80</v>
      </c>
      <c r="E88" s="20">
        <v>186</v>
      </c>
      <c r="F88" s="20" t="s">
        <v>236</v>
      </c>
      <c r="G88" s="20" t="s">
        <v>142</v>
      </c>
      <c r="H88" s="21" t="s">
        <v>144</v>
      </c>
      <c r="I88" s="21" t="s">
        <v>143</v>
      </c>
      <c r="J88" s="21" t="s">
        <v>32</v>
      </c>
      <c r="K88" s="32"/>
      <c r="L88" s="29"/>
      <c r="M88" s="33"/>
      <c r="N88" s="22">
        <v>106.64</v>
      </c>
      <c r="O88" s="19">
        <v>16480.22</v>
      </c>
      <c r="P88" s="22">
        <v>568.99</v>
      </c>
      <c r="Q88" s="22">
        <v>28.96</v>
      </c>
      <c r="R88" s="23">
        <v>1485.51</v>
      </c>
      <c r="S88" s="19">
        <f>63850/8</f>
        <v>7981.25</v>
      </c>
      <c r="T88" s="22">
        <f>674.74/8</f>
        <v>84.342500000000001</v>
      </c>
      <c r="U88" s="22">
        <v>94.63</v>
      </c>
      <c r="V8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W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X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Y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Z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6" x14ac:dyDescent="0.3">
      <c r="B89" s="19">
        <v>86</v>
      </c>
      <c r="C89" s="20" t="s">
        <v>134</v>
      </c>
      <c r="D89" s="20" t="s">
        <v>77</v>
      </c>
      <c r="E89" s="20">
        <v>261</v>
      </c>
      <c r="F89" s="20" t="s">
        <v>85</v>
      </c>
      <c r="G89" s="20" t="s">
        <v>146</v>
      </c>
      <c r="H89" s="21"/>
      <c r="I89" s="21"/>
      <c r="J89" s="21" t="s">
        <v>32</v>
      </c>
      <c r="K89" s="32"/>
      <c r="L89" s="29"/>
      <c r="M89" s="33"/>
      <c r="N89" s="22">
        <v>75.87</v>
      </c>
      <c r="O89" s="19">
        <v>24717.13</v>
      </c>
      <c r="P89" s="22">
        <v>533.22</v>
      </c>
      <c r="Q89" s="22">
        <v>46.35</v>
      </c>
      <c r="R89" s="23">
        <v>1924.72</v>
      </c>
      <c r="S89" s="19">
        <v>6166.54</v>
      </c>
      <c r="T89" s="22">
        <v>84.25</v>
      </c>
      <c r="U89" s="22">
        <v>73.19</v>
      </c>
      <c r="V8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W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X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Y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Z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6" x14ac:dyDescent="0.3">
      <c r="B90" s="19">
        <v>87</v>
      </c>
      <c r="C90" s="20" t="s">
        <v>134</v>
      </c>
      <c r="D90" s="20" t="s">
        <v>77</v>
      </c>
      <c r="E90" s="20">
        <v>279</v>
      </c>
      <c r="F90" s="20" t="s">
        <v>147</v>
      </c>
      <c r="G90" s="20" t="s">
        <v>20</v>
      </c>
      <c r="H90" s="21"/>
      <c r="I90" s="21"/>
      <c r="J90" s="21" t="s">
        <v>32</v>
      </c>
      <c r="K90" s="32"/>
      <c r="L90" s="29"/>
      <c r="M90" s="33"/>
      <c r="N90" s="22">
        <v>26.63</v>
      </c>
      <c r="O90" s="19">
        <v>48597</v>
      </c>
      <c r="P90" s="22">
        <v>772.61</v>
      </c>
      <c r="Q90" s="22">
        <v>62.9</v>
      </c>
      <c r="R90" s="23">
        <v>771.77</v>
      </c>
      <c r="S90" s="19">
        <v>14692.8</v>
      </c>
      <c r="T90" s="22">
        <v>88.2</v>
      </c>
      <c r="U90" s="22">
        <v>166.6</v>
      </c>
      <c r="V9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W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X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Y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Z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6" x14ac:dyDescent="0.3">
      <c r="B91" s="19">
        <v>88</v>
      </c>
      <c r="C91" s="20" t="s">
        <v>134</v>
      </c>
      <c r="D91" s="20" t="s">
        <v>80</v>
      </c>
      <c r="E91" s="20">
        <v>214</v>
      </c>
      <c r="F91" s="20" t="s">
        <v>38</v>
      </c>
      <c r="G91" s="20" t="s">
        <v>148</v>
      </c>
      <c r="H91" s="21"/>
      <c r="I91" s="21"/>
      <c r="J91" s="21" t="s">
        <v>32</v>
      </c>
      <c r="K91" s="32"/>
      <c r="L91" s="29"/>
      <c r="M91" s="33"/>
      <c r="N91" s="22">
        <v>89.89</v>
      </c>
      <c r="O91" s="19">
        <v>23660.84</v>
      </c>
      <c r="P91" s="22">
        <v>470.17</v>
      </c>
      <c r="Q91" s="22">
        <v>50.32</v>
      </c>
      <c r="R91" s="23">
        <v>5170.32</v>
      </c>
      <c r="S91" s="19">
        <f>77506.9/16</f>
        <v>4844.1812499999996</v>
      </c>
      <c r="T91" s="22">
        <f>638.83/16</f>
        <v>39.926875000000003</v>
      </c>
      <c r="U91" s="22">
        <v>121.33</v>
      </c>
      <c r="V9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W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X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Y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Z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6" x14ac:dyDescent="0.3">
      <c r="B92" s="19">
        <v>89</v>
      </c>
      <c r="C92" s="20" t="s">
        <v>134</v>
      </c>
      <c r="D92" s="20" t="s">
        <v>156</v>
      </c>
      <c r="E92" s="20">
        <v>8</v>
      </c>
      <c r="F92" s="20" t="s">
        <v>35</v>
      </c>
      <c r="G92" s="20" t="s">
        <v>157</v>
      </c>
      <c r="H92" s="21" t="s">
        <v>158</v>
      </c>
      <c r="I92" s="21" t="s">
        <v>158</v>
      </c>
      <c r="J92" s="21" t="s">
        <v>32</v>
      </c>
      <c r="K92" s="32"/>
      <c r="L92" s="29"/>
      <c r="M92" s="33"/>
      <c r="N92" s="22">
        <v>94.33</v>
      </c>
      <c r="O92" s="19">
        <v>19142</v>
      </c>
      <c r="P92" s="22">
        <v>553.82000000000005</v>
      </c>
      <c r="Q92" s="22">
        <v>34.56</v>
      </c>
      <c r="R92" s="23">
        <v>5254.59</v>
      </c>
      <c r="S92" s="19">
        <v>4412</v>
      </c>
      <c r="T92" s="22">
        <v>43.14</v>
      </c>
      <c r="U92" s="22">
        <v>102.27</v>
      </c>
      <c r="V9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W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X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Y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Z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6" x14ac:dyDescent="0.3">
      <c r="B93" s="19">
        <v>90</v>
      </c>
      <c r="C93" s="20" t="s">
        <v>134</v>
      </c>
      <c r="D93" s="20" t="s">
        <v>80</v>
      </c>
      <c r="E93" s="20">
        <v>218</v>
      </c>
      <c r="F93" s="20" t="s">
        <v>38</v>
      </c>
      <c r="G93" s="20" t="s">
        <v>148</v>
      </c>
      <c r="H93" s="21" t="s">
        <v>159</v>
      </c>
      <c r="I93" s="21"/>
      <c r="J93" s="21"/>
      <c r="K93" s="32"/>
      <c r="L93" s="29"/>
      <c r="M93" s="33"/>
      <c r="N93" s="22">
        <v>71.430000000000007</v>
      </c>
      <c r="O93" s="19">
        <v>26897</v>
      </c>
      <c r="P93" s="22">
        <v>520.49</v>
      </c>
      <c r="Q93" s="22">
        <v>51.68</v>
      </c>
      <c r="R93" s="23">
        <v>4236.1000000000004</v>
      </c>
      <c r="S93" s="19">
        <v>5274</v>
      </c>
      <c r="T93" s="22">
        <v>44.76</v>
      </c>
      <c r="U93" s="22">
        <v>117.82</v>
      </c>
      <c r="V9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W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X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Y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Z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6" x14ac:dyDescent="0.3">
      <c r="B94" s="19">
        <v>91</v>
      </c>
      <c r="C94" s="20" t="s">
        <v>134</v>
      </c>
      <c r="D94" s="20" t="s">
        <v>156</v>
      </c>
      <c r="E94" s="20">
        <v>17</v>
      </c>
      <c r="F94" s="20" t="s">
        <v>160</v>
      </c>
      <c r="G94" s="20" t="s">
        <v>161</v>
      </c>
      <c r="H94" s="21" t="s">
        <v>159</v>
      </c>
      <c r="I94" s="21"/>
      <c r="J94" s="21" t="s">
        <v>32</v>
      </c>
      <c r="K94" s="32"/>
      <c r="L94" s="29"/>
      <c r="M94" s="33"/>
      <c r="N94" s="22">
        <v>40.93</v>
      </c>
      <c r="O94" s="19">
        <v>28989</v>
      </c>
      <c r="P94" s="22">
        <v>842.74</v>
      </c>
      <c r="Q94" s="22">
        <v>34.4</v>
      </c>
      <c r="R94" s="23">
        <v>260.36</v>
      </c>
      <c r="S94" s="19">
        <v>16486</v>
      </c>
      <c r="T94" s="22">
        <v>232.98</v>
      </c>
      <c r="U94" s="22">
        <v>70.760000000000005</v>
      </c>
      <c r="V9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W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X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Y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Z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6" x14ac:dyDescent="0.3">
      <c r="B95" s="19">
        <v>92</v>
      </c>
      <c r="C95" s="20" t="s">
        <v>162</v>
      </c>
      <c r="D95" s="20" t="s">
        <v>156</v>
      </c>
      <c r="E95" s="20">
        <v>37</v>
      </c>
      <c r="F95" s="20" t="s">
        <v>35</v>
      </c>
      <c r="G95" s="20" t="s">
        <v>163</v>
      </c>
      <c r="H95" s="24" t="s">
        <v>164</v>
      </c>
      <c r="I95" s="24" t="s">
        <v>164</v>
      </c>
      <c r="J95" s="21" t="s">
        <v>32</v>
      </c>
      <c r="K95" s="32"/>
      <c r="L95" s="29"/>
      <c r="M95" s="33"/>
      <c r="N95" s="25">
        <v>101.48</v>
      </c>
      <c r="O95" s="19">
        <v>20116.45</v>
      </c>
      <c r="P95" s="22">
        <v>489.86</v>
      </c>
      <c r="Q95" s="22">
        <v>41.07</v>
      </c>
      <c r="R95" s="23">
        <v>9477.01</v>
      </c>
      <c r="S95" s="19">
        <v>2972.54</v>
      </c>
      <c r="T95" s="22">
        <v>35.5</v>
      </c>
      <c r="U95" s="22">
        <v>83.74</v>
      </c>
      <c r="V9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W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X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Y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Z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6" x14ac:dyDescent="0.3">
      <c r="B96" s="19">
        <v>93</v>
      </c>
      <c r="C96" s="20" t="s">
        <v>162</v>
      </c>
      <c r="D96" s="26" t="s">
        <v>156</v>
      </c>
      <c r="E96" s="26">
        <v>43</v>
      </c>
      <c r="F96" s="26" t="s">
        <v>262</v>
      </c>
      <c r="G96" s="26" t="s">
        <v>165</v>
      </c>
      <c r="H96" s="27"/>
      <c r="I96" s="27"/>
      <c r="J96" s="27" t="s">
        <v>32</v>
      </c>
      <c r="K96" s="32"/>
      <c r="L96" s="29"/>
      <c r="M96" s="34"/>
      <c r="N96" s="28">
        <v>132.33000000000001</v>
      </c>
      <c r="O96" s="29">
        <v>13265</v>
      </c>
      <c r="P96" s="28">
        <v>569.71</v>
      </c>
      <c r="Q96" s="28">
        <v>23.28</v>
      </c>
      <c r="R96" s="30">
        <v>2320</v>
      </c>
      <c r="S96" s="29">
        <v>4838</v>
      </c>
      <c r="T96" s="28">
        <v>89.08</v>
      </c>
      <c r="U96" s="28">
        <v>54.31</v>
      </c>
      <c r="V9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W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X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Y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Z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6" x14ac:dyDescent="0.3">
      <c r="B97" s="19">
        <v>94</v>
      </c>
      <c r="C97" s="20" t="s">
        <v>162</v>
      </c>
      <c r="D97" s="26" t="s">
        <v>156</v>
      </c>
      <c r="E97" s="26">
        <v>44</v>
      </c>
      <c r="F97" s="26" t="s">
        <v>166</v>
      </c>
      <c r="G97" s="26" t="s">
        <v>167</v>
      </c>
      <c r="H97" s="27" t="s">
        <v>168</v>
      </c>
      <c r="I97" s="27" t="s">
        <v>169</v>
      </c>
      <c r="J97" s="27"/>
      <c r="K97" s="32"/>
      <c r="L97" s="29"/>
      <c r="M97" s="34"/>
      <c r="N97" s="28">
        <v>860.7</v>
      </c>
      <c r="O97" s="29">
        <v>2101</v>
      </c>
      <c r="P97" s="28">
        <v>553</v>
      </c>
      <c r="Q97" s="28">
        <v>3.8</v>
      </c>
      <c r="R97" s="30">
        <f>1000000000/(1670*111.3)</f>
        <v>5380.0754286575102</v>
      </c>
      <c r="S97" s="29">
        <f>GeneralTable[[#This Row],[Dur. CB23MT]]*GeneralTable[[#This Row],[Avg. Pwr. CB23MT]]</f>
        <v>1669.5</v>
      </c>
      <c r="T97" s="28">
        <v>111.3</v>
      </c>
      <c r="U97" s="28">
        <v>15</v>
      </c>
      <c r="V9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W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X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Y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Z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6" x14ac:dyDescent="0.3">
      <c r="B98" s="19">
        <v>95</v>
      </c>
      <c r="C98" s="26" t="s">
        <v>134</v>
      </c>
      <c r="D98" s="26" t="s">
        <v>77</v>
      </c>
      <c r="E98" s="26">
        <v>283</v>
      </c>
      <c r="F98" s="26" t="s">
        <v>170</v>
      </c>
      <c r="G98" s="26" t="s">
        <v>171</v>
      </c>
      <c r="H98" s="27"/>
      <c r="I98" s="27"/>
      <c r="J98" s="27"/>
      <c r="K98" s="32"/>
      <c r="L98" s="29"/>
      <c r="M98" s="34"/>
      <c r="N98" s="28">
        <v>127.66</v>
      </c>
      <c r="O98" s="29">
        <v>14109</v>
      </c>
      <c r="P98" s="28">
        <v>555.16999999999996</v>
      </c>
      <c r="Q98" s="28">
        <v>25.41</v>
      </c>
      <c r="R98" s="30">
        <v>2779.74</v>
      </c>
      <c r="S98" s="29">
        <f>43207.19/9</f>
        <v>4800.7988888888895</v>
      </c>
      <c r="T98" s="28">
        <f>674.41/9</f>
        <v>74.934444444444438</v>
      </c>
      <c r="U98" s="28">
        <v>64.069999999999993</v>
      </c>
      <c r="V9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W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X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Y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Z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6" x14ac:dyDescent="0.3">
      <c r="B99" s="19">
        <v>96</v>
      </c>
      <c r="C99" s="20" t="s">
        <v>162</v>
      </c>
      <c r="D99" s="26" t="s">
        <v>156</v>
      </c>
      <c r="E99" s="26">
        <v>55</v>
      </c>
      <c r="F99" s="26" t="s">
        <v>262</v>
      </c>
      <c r="G99" s="26" t="s">
        <v>165</v>
      </c>
      <c r="H99" s="27"/>
      <c r="I99" s="27"/>
      <c r="J99" s="27"/>
      <c r="K99" s="32"/>
      <c r="L99" s="29"/>
      <c r="M99" s="34"/>
      <c r="N99" s="28">
        <v>177.67</v>
      </c>
      <c r="O99" s="29">
        <v>9989</v>
      </c>
      <c r="P99" s="28">
        <v>563.46</v>
      </c>
      <c r="Q99" s="28">
        <v>17.73</v>
      </c>
      <c r="R99" s="30">
        <v>2225.96</v>
      </c>
      <c r="S99" s="29">
        <v>5441</v>
      </c>
      <c r="T99" s="28">
        <v>82.56</v>
      </c>
      <c r="U99" s="28">
        <v>65.91</v>
      </c>
      <c r="V9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W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X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Y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Z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6" x14ac:dyDescent="0.3">
      <c r="B100" s="19">
        <v>97</v>
      </c>
      <c r="C100" s="20" t="s">
        <v>162</v>
      </c>
      <c r="D100" s="26" t="s">
        <v>156</v>
      </c>
      <c r="E100" s="26">
        <v>63</v>
      </c>
      <c r="F100" s="26" t="s">
        <v>172</v>
      </c>
      <c r="G100" s="26" t="s">
        <v>167</v>
      </c>
      <c r="H100" s="27" t="s">
        <v>173</v>
      </c>
      <c r="I100" s="27" t="s">
        <v>169</v>
      </c>
      <c r="J100" s="27"/>
      <c r="K100" s="32"/>
      <c r="L100" s="29"/>
      <c r="M100" s="34"/>
      <c r="N100" s="28">
        <f>1000000000/(GeneralTable[[#This Row],[Cons. CB23ST]]*GeneralTable[[#This Row],[Dur. CB23ST]])</f>
        <v>297.27408581529943</v>
      </c>
      <c r="O100" s="29">
        <f>GeneralTable[[#This Row],[Avg. Pwr. CB23ST]]*GeneralTable[[#This Row],[Dur. CB23ST]]</f>
        <v>6083</v>
      </c>
      <c r="P100" s="28">
        <v>553</v>
      </c>
      <c r="Q100" s="28">
        <v>11</v>
      </c>
      <c r="R100" s="30">
        <f>1000000000/(GeneralTable[[#This Row],[Cons. CB23MT]]*GeneralTable[[#This Row],[Dur. CB23MT]])</f>
        <v>5753.1937416758474</v>
      </c>
      <c r="S100" s="29">
        <f>GeneralTable[[#This Row],[Dur. CB23MT]]*GeneralTable[[#This Row],[Avg. Pwr. CB23MT]]</f>
        <v>2431</v>
      </c>
      <c r="T100" s="28">
        <v>71.5</v>
      </c>
      <c r="U100" s="28">
        <v>34</v>
      </c>
      <c r="V10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W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X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Y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Z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6" x14ac:dyDescent="0.3">
      <c r="B101" s="19">
        <v>98</v>
      </c>
      <c r="C101" s="20" t="s">
        <v>195</v>
      </c>
      <c r="D101" s="26" t="s">
        <v>77</v>
      </c>
      <c r="E101" s="26">
        <v>289</v>
      </c>
      <c r="F101" s="26" t="s">
        <v>231</v>
      </c>
      <c r="G101" s="26" t="s">
        <v>2</v>
      </c>
      <c r="H101" s="27"/>
      <c r="I101" s="27"/>
      <c r="J101" s="27"/>
      <c r="K101" s="32"/>
      <c r="L101" s="29"/>
      <c r="M101" s="34"/>
      <c r="N101" s="28">
        <v>146.91</v>
      </c>
      <c r="O101" s="29">
        <v>16019</v>
      </c>
      <c r="P101" s="28">
        <v>424.94</v>
      </c>
      <c r="Q101" s="28">
        <v>37.700000000000003</v>
      </c>
      <c r="R101" s="30">
        <v>3113.06</v>
      </c>
      <c r="S101" s="29">
        <v>6234</v>
      </c>
      <c r="T101" s="28">
        <v>51.53</v>
      </c>
      <c r="U101" s="28">
        <v>120.96</v>
      </c>
      <c r="V10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W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X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Y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Z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6" x14ac:dyDescent="0.3">
      <c r="B102" s="19">
        <v>99</v>
      </c>
      <c r="C102" s="20" t="s">
        <v>195</v>
      </c>
      <c r="D102" s="26" t="s">
        <v>156</v>
      </c>
      <c r="E102" s="26">
        <v>67</v>
      </c>
      <c r="F102" s="26" t="s">
        <v>232</v>
      </c>
      <c r="G102" s="26" t="s">
        <v>167</v>
      </c>
      <c r="H102" s="27" t="s">
        <v>196</v>
      </c>
      <c r="I102" s="31" t="s">
        <v>197</v>
      </c>
      <c r="J102" s="27" t="s">
        <v>32</v>
      </c>
      <c r="K102" s="32"/>
      <c r="L102" s="29"/>
      <c r="M102" s="34"/>
      <c r="N102" s="28">
        <v>149.12</v>
      </c>
      <c r="O102" s="29">
        <v>16620</v>
      </c>
      <c r="P102" s="28">
        <v>403.5</v>
      </c>
      <c r="Q102" s="28">
        <v>41.19</v>
      </c>
      <c r="R102" s="30">
        <v>3977.92</v>
      </c>
      <c r="S102" s="29">
        <v>7121</v>
      </c>
      <c r="T102" s="28">
        <v>35.299999999999997</v>
      </c>
      <c r="U102" s="28">
        <v>201.69</v>
      </c>
      <c r="V10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W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X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Y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Z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6" x14ac:dyDescent="0.3">
      <c r="B103" s="19">
        <v>100</v>
      </c>
      <c r="C103" s="26" t="s">
        <v>195</v>
      </c>
      <c r="D103" s="26" t="s">
        <v>156</v>
      </c>
      <c r="E103" s="26">
        <v>67</v>
      </c>
      <c r="F103" s="26" t="s">
        <v>232</v>
      </c>
      <c r="G103" s="26" t="s">
        <v>167</v>
      </c>
      <c r="H103" s="27" t="s">
        <v>200</v>
      </c>
      <c r="I103" s="31"/>
      <c r="J103" s="27"/>
      <c r="K103" s="32"/>
      <c r="L103" s="29"/>
      <c r="M103" s="34"/>
      <c r="N103" s="28">
        <v>148.72</v>
      </c>
      <c r="O103" s="29">
        <v>16621</v>
      </c>
      <c r="P103" s="28">
        <v>404.55</v>
      </c>
      <c r="Q103" s="28">
        <v>41.09</v>
      </c>
      <c r="R103" s="30">
        <v>4012.09</v>
      </c>
      <c r="S103" s="29">
        <v>7095</v>
      </c>
      <c r="T103" s="28">
        <v>35.130000000000003</v>
      </c>
      <c r="U103" s="28">
        <v>201.99</v>
      </c>
      <c r="V10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W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X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Y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Z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6" x14ac:dyDescent="0.3">
      <c r="B104" s="19">
        <v>101</v>
      </c>
      <c r="C104" s="26" t="s">
        <v>195</v>
      </c>
      <c r="D104" s="26" t="s">
        <v>156</v>
      </c>
      <c r="E104" s="26">
        <v>67</v>
      </c>
      <c r="F104" s="26" t="s">
        <v>232</v>
      </c>
      <c r="G104" s="26" t="s">
        <v>167</v>
      </c>
      <c r="H104" s="27" t="s">
        <v>198</v>
      </c>
      <c r="I104" s="31" t="s">
        <v>199</v>
      </c>
      <c r="J104" s="27"/>
      <c r="K104" s="32"/>
      <c r="L104" s="29"/>
      <c r="M104" s="34"/>
      <c r="N104" s="28">
        <v>145.66</v>
      </c>
      <c r="O104" s="29">
        <v>16888</v>
      </c>
      <c r="P104" s="28">
        <v>406.52</v>
      </c>
      <c r="Q104" s="28">
        <v>41.54</v>
      </c>
      <c r="R104" s="30">
        <v>5553.64</v>
      </c>
      <c r="S104" s="29">
        <v>4469</v>
      </c>
      <c r="T104" s="28">
        <v>40.29</v>
      </c>
      <c r="U104" s="28">
        <v>110.94</v>
      </c>
      <c r="V10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W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X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Y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Z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6" x14ac:dyDescent="0.3">
      <c r="B105" s="19">
        <v>102</v>
      </c>
      <c r="C105" s="26" t="s">
        <v>195</v>
      </c>
      <c r="D105" s="26" t="s">
        <v>156</v>
      </c>
      <c r="E105" s="26">
        <v>67</v>
      </c>
      <c r="F105" s="26" t="s">
        <v>232</v>
      </c>
      <c r="G105" s="26" t="s">
        <v>167</v>
      </c>
      <c r="H105" s="27" t="s">
        <v>201</v>
      </c>
      <c r="I105" s="31" t="s">
        <v>202</v>
      </c>
      <c r="J105" s="27" t="s">
        <v>32</v>
      </c>
      <c r="K105" s="32"/>
      <c r="L105" s="29"/>
      <c r="M105" s="34"/>
      <c r="N105" s="28">
        <v>151.91999999999999</v>
      </c>
      <c r="O105" s="29">
        <v>16298</v>
      </c>
      <c r="P105" s="28">
        <v>403.88</v>
      </c>
      <c r="Q105" s="28">
        <v>40.35</v>
      </c>
      <c r="R105" s="30">
        <v>5094.38</v>
      </c>
      <c r="S105" s="29">
        <v>3471</v>
      </c>
      <c r="T105" s="28">
        <v>56.55</v>
      </c>
      <c r="U105" s="28">
        <v>61.38</v>
      </c>
      <c r="V10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W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X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Y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Z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6" x14ac:dyDescent="0.3">
      <c r="B106" s="19">
        <v>103</v>
      </c>
      <c r="C106" s="26" t="s">
        <v>101</v>
      </c>
      <c r="D106" s="26" t="s">
        <v>80</v>
      </c>
      <c r="E106" s="26">
        <v>230</v>
      </c>
      <c r="F106" s="26" t="s">
        <v>263</v>
      </c>
      <c r="G106" s="26" t="s">
        <v>131</v>
      </c>
      <c r="H106" s="27"/>
      <c r="I106" s="27"/>
      <c r="J106" s="27"/>
      <c r="K106" s="32"/>
      <c r="L106" s="29"/>
      <c r="M106" s="34"/>
      <c r="N106" s="28">
        <v>205.28</v>
      </c>
      <c r="O106" s="29">
        <v>8876.3700000000008</v>
      </c>
      <c r="P106" s="28">
        <v>548.82000000000005</v>
      </c>
      <c r="Q106" s="28">
        <v>16.170000000000002</v>
      </c>
      <c r="R106" s="30">
        <v>4818.3599999999997</v>
      </c>
      <c r="S106" s="29">
        <v>2681.15</v>
      </c>
      <c r="T106" s="28">
        <v>77.41</v>
      </c>
      <c r="U106" s="28">
        <v>34.64</v>
      </c>
      <c r="V10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W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X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Y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Z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6" x14ac:dyDescent="0.3">
      <c r="B107" s="19">
        <v>104</v>
      </c>
      <c r="C107" s="26" t="s">
        <v>101</v>
      </c>
      <c r="D107" s="26" t="s">
        <v>80</v>
      </c>
      <c r="E107" s="26">
        <v>230</v>
      </c>
      <c r="F107" s="26" t="s">
        <v>263</v>
      </c>
      <c r="G107" s="26" t="s">
        <v>131</v>
      </c>
      <c r="H107" s="27" t="s">
        <v>204</v>
      </c>
      <c r="I107" s="31" t="s">
        <v>203</v>
      </c>
      <c r="J107" s="27" t="s">
        <v>32</v>
      </c>
      <c r="K107" s="32"/>
      <c r="L107" s="29"/>
      <c r="M107" s="34"/>
      <c r="N107" s="28">
        <v>219.51</v>
      </c>
      <c r="O107" s="29">
        <v>8241.7099999999991</v>
      </c>
      <c r="P107" s="28">
        <v>552.75</v>
      </c>
      <c r="Q107" s="28">
        <v>14.91</v>
      </c>
      <c r="R107" s="30">
        <v>6440.17</v>
      </c>
      <c r="S107" s="29">
        <v>1507.5250000000001</v>
      </c>
      <c r="T107" s="28">
        <v>103</v>
      </c>
      <c r="U107" s="28">
        <v>14.64</v>
      </c>
      <c r="V10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W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X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Y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Z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6" x14ac:dyDescent="0.3">
      <c r="B108" s="19">
        <v>105</v>
      </c>
      <c r="C108" s="26" t="s">
        <v>195</v>
      </c>
      <c r="D108" s="26" t="s">
        <v>77</v>
      </c>
      <c r="E108" s="26">
        <v>308</v>
      </c>
      <c r="F108" s="26" t="s">
        <v>233</v>
      </c>
      <c r="G108" s="26" t="s">
        <v>205</v>
      </c>
      <c r="H108" s="27"/>
      <c r="I108" s="27"/>
      <c r="J108" s="27"/>
      <c r="K108" s="32"/>
      <c r="L108" s="29"/>
      <c r="M108" s="34"/>
      <c r="N108" s="28">
        <v>171.78</v>
      </c>
      <c r="O108" s="29">
        <v>12332</v>
      </c>
      <c r="P108" s="28">
        <v>472.06</v>
      </c>
      <c r="Q108" s="28">
        <v>26.12</v>
      </c>
      <c r="R108" s="30">
        <v>4214.75</v>
      </c>
      <c r="S108" s="29">
        <v>3495</v>
      </c>
      <c r="T108" s="28">
        <v>67.89</v>
      </c>
      <c r="U108" s="28">
        <v>51.48</v>
      </c>
      <c r="V10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W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X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Y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Z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6" x14ac:dyDescent="0.3">
      <c r="B109" s="19">
        <v>106</v>
      </c>
      <c r="C109" s="26" t="s">
        <v>206</v>
      </c>
      <c r="D109" s="26" t="s">
        <v>156</v>
      </c>
      <c r="E109" s="26">
        <v>96</v>
      </c>
      <c r="F109" s="26" t="s">
        <v>227</v>
      </c>
      <c r="G109" s="26" t="s">
        <v>167</v>
      </c>
      <c r="H109" s="27"/>
      <c r="I109" s="27"/>
      <c r="J109" s="27" t="s">
        <v>32</v>
      </c>
      <c r="K109" s="32"/>
      <c r="L109" s="29"/>
      <c r="M109" s="34"/>
      <c r="N109" s="28">
        <v>95.3</v>
      </c>
      <c r="O109" s="29">
        <v>25941</v>
      </c>
      <c r="P109" s="28">
        <v>404.49</v>
      </c>
      <c r="Q109" s="28">
        <v>64.13</v>
      </c>
      <c r="R109" s="30">
        <v>8356.0499999999993</v>
      </c>
      <c r="S109" s="29">
        <v>4361</v>
      </c>
      <c r="T109" s="28">
        <v>27.44</v>
      </c>
      <c r="U109" s="28">
        <v>158.94999999999999</v>
      </c>
      <c r="V10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W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X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Y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Z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6" x14ac:dyDescent="0.3">
      <c r="B110">
        <v>107</v>
      </c>
      <c r="C110" s="26" t="s">
        <v>206</v>
      </c>
      <c r="D110" s="26" t="s">
        <v>156</v>
      </c>
      <c r="E110" s="26">
        <v>98</v>
      </c>
      <c r="F110" s="26" t="s">
        <v>237</v>
      </c>
      <c r="G110" s="26" t="s">
        <v>207</v>
      </c>
      <c r="H110" s="27"/>
      <c r="I110" s="27"/>
      <c r="J110" s="27"/>
      <c r="K110" s="32"/>
      <c r="L110" s="29"/>
      <c r="M110" s="34"/>
      <c r="N110" s="28">
        <v>185.72</v>
      </c>
      <c r="O110" s="29">
        <v>10028</v>
      </c>
      <c r="P110" s="28">
        <v>536.96</v>
      </c>
      <c r="Q110" s="28">
        <v>18.670000000000002</v>
      </c>
      <c r="R110" s="30">
        <v>5041.29</v>
      </c>
      <c r="S110" s="29">
        <v>2500</v>
      </c>
      <c r="T110" s="28">
        <v>79.349999999999994</v>
      </c>
      <c r="U110" s="28">
        <v>31.5</v>
      </c>
      <c r="V11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W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X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Y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Z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6" x14ac:dyDescent="0.3">
      <c r="B111">
        <v>108</v>
      </c>
      <c r="C111" s="26" t="s">
        <v>206</v>
      </c>
      <c r="D111" s="26" t="s">
        <v>156</v>
      </c>
      <c r="E111" s="26">
        <v>100</v>
      </c>
      <c r="F111" s="26" t="s">
        <v>228</v>
      </c>
      <c r="G111" s="26" t="s">
        <v>167</v>
      </c>
      <c r="H111" s="27"/>
      <c r="I111" s="27"/>
      <c r="J111" s="27"/>
      <c r="K111" s="32"/>
      <c r="L111" s="29"/>
      <c r="M111" s="34"/>
      <c r="N111" s="28">
        <v>221.41</v>
      </c>
      <c r="O111" s="29">
        <v>10913</v>
      </c>
      <c r="P111" s="28">
        <v>413.88</v>
      </c>
      <c r="Q111" s="28">
        <v>26.37</v>
      </c>
      <c r="R111" s="30">
        <v>3285.45</v>
      </c>
      <c r="S111" s="29">
        <v>5156</v>
      </c>
      <c r="T111" s="28">
        <v>59.03</v>
      </c>
      <c r="U111" s="28">
        <v>87.36</v>
      </c>
      <c r="V11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W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X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Y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Z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6" x14ac:dyDescent="0.3">
      <c r="B112">
        <v>109</v>
      </c>
      <c r="C112" s="26" t="s">
        <v>206</v>
      </c>
      <c r="D112" s="26" t="s">
        <v>156</v>
      </c>
      <c r="E112" s="26">
        <v>100</v>
      </c>
      <c r="F112" s="26" t="s">
        <v>229</v>
      </c>
      <c r="G112" s="26" t="s">
        <v>167</v>
      </c>
      <c r="H112" s="27"/>
      <c r="I112" s="27"/>
      <c r="J112" s="27"/>
      <c r="K112" s="32"/>
      <c r="L112" s="29"/>
      <c r="M112" s="34"/>
      <c r="N112" s="28">
        <v>151.38999999999999</v>
      </c>
      <c r="O112" s="29">
        <v>16232</v>
      </c>
      <c r="P112" s="28">
        <v>406.94</v>
      </c>
      <c r="Q112" s="28">
        <v>39.89</v>
      </c>
      <c r="R112" s="30">
        <v>4444.33</v>
      </c>
      <c r="S112" s="29">
        <v>4821</v>
      </c>
      <c r="T112" s="28">
        <v>46.68</v>
      </c>
      <c r="U112" s="28">
        <v>103.28</v>
      </c>
      <c r="V11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W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X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Y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Z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6" x14ac:dyDescent="0.3">
      <c r="B113">
        <v>110</v>
      </c>
      <c r="C113" s="26" t="s">
        <v>206</v>
      </c>
      <c r="D113" s="26" t="s">
        <v>156</v>
      </c>
      <c r="E113" s="26">
        <v>100</v>
      </c>
      <c r="F113" s="26" t="s">
        <v>230</v>
      </c>
      <c r="G113" s="26" t="s">
        <v>167</v>
      </c>
      <c r="H113" s="27"/>
      <c r="I113" s="27"/>
      <c r="J113" s="27"/>
      <c r="K113" s="32"/>
      <c r="L113" s="29"/>
      <c r="M113" s="34"/>
      <c r="N113" s="28">
        <v>123.05</v>
      </c>
      <c r="O113" s="29">
        <v>20376</v>
      </c>
      <c r="P113" s="28">
        <v>398.83</v>
      </c>
      <c r="Q113" s="28">
        <v>51.09</v>
      </c>
      <c r="R113" s="30">
        <v>6261.2</v>
      </c>
      <c r="S113" s="29">
        <v>4764</v>
      </c>
      <c r="T113" s="28">
        <v>33.520000000000003</v>
      </c>
      <c r="U113" s="28">
        <v>142.12</v>
      </c>
      <c r="V11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W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X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Y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Z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6" x14ac:dyDescent="0.3">
      <c r="B114">
        <v>111</v>
      </c>
      <c r="C114" s="26" t="s">
        <v>206</v>
      </c>
      <c r="D114" s="26" t="s">
        <v>156</v>
      </c>
      <c r="E114" s="26">
        <v>100</v>
      </c>
      <c r="F114" s="26" t="s">
        <v>227</v>
      </c>
      <c r="G114" s="26" t="s">
        <v>167</v>
      </c>
      <c r="H114" s="27"/>
      <c r="I114" s="27"/>
      <c r="J114" s="27"/>
      <c r="K114" s="32"/>
      <c r="L114" s="29"/>
      <c r="M114" s="34"/>
      <c r="N114" s="28">
        <v>117.05</v>
      </c>
      <c r="O114" s="29">
        <v>21111</v>
      </c>
      <c r="P114" s="28">
        <v>404.69</v>
      </c>
      <c r="Q114" s="28">
        <v>52.17</v>
      </c>
      <c r="R114" s="30">
        <v>8913.74</v>
      </c>
      <c r="S114" s="29">
        <v>4067</v>
      </c>
      <c r="T114" s="28">
        <v>27.59</v>
      </c>
      <c r="U114" s="28">
        <v>147.41999999999999</v>
      </c>
      <c r="V11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W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X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Y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Z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6" x14ac:dyDescent="0.3">
      <c r="B115">
        <v>112</v>
      </c>
      <c r="C115" s="26" t="s">
        <v>206</v>
      </c>
      <c r="D115" s="26" t="s">
        <v>156</v>
      </c>
      <c r="E115" s="26">
        <v>100</v>
      </c>
      <c r="F115" s="26" t="s">
        <v>227</v>
      </c>
      <c r="G115" s="26" t="s">
        <v>167</v>
      </c>
      <c r="H115" s="27"/>
      <c r="I115" s="31" t="s">
        <v>224</v>
      </c>
      <c r="J115" s="27"/>
      <c r="K115" s="32"/>
      <c r="L115" s="29"/>
      <c r="M115" s="34"/>
      <c r="N115" s="28">
        <v>117.28</v>
      </c>
      <c r="O115" s="29">
        <v>21271</v>
      </c>
      <c r="P115" s="28">
        <v>400.87</v>
      </c>
      <c r="Q115" s="28">
        <v>53.06</v>
      </c>
      <c r="R115" s="30">
        <v>12370.21</v>
      </c>
      <c r="S115" s="29">
        <v>2564</v>
      </c>
      <c r="T115" s="28">
        <v>31.53</v>
      </c>
      <c r="U115" s="28">
        <v>81.290000000000006</v>
      </c>
      <c r="V11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W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X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Y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Z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6" x14ac:dyDescent="0.3">
      <c r="B116">
        <v>113</v>
      </c>
      <c r="C116" s="26" t="s">
        <v>206</v>
      </c>
      <c r="D116" s="26" t="s">
        <v>156</v>
      </c>
      <c r="E116" s="26">
        <v>101</v>
      </c>
      <c r="F116" s="26" t="s">
        <v>238</v>
      </c>
      <c r="G116" s="26" t="s">
        <v>208</v>
      </c>
      <c r="H116" s="27"/>
      <c r="I116" s="31" t="s">
        <v>267</v>
      </c>
      <c r="J116" s="27"/>
      <c r="K116" s="32"/>
      <c r="L116" s="29"/>
      <c r="M116" s="34"/>
      <c r="N116" s="28">
        <v>245.16</v>
      </c>
      <c r="O116" s="29">
        <v>7000.34</v>
      </c>
      <c r="P116" s="28">
        <v>582.69000000000005</v>
      </c>
      <c r="Q116" s="28">
        <v>12.01</v>
      </c>
      <c r="R116" s="30">
        <v>4928.8</v>
      </c>
      <c r="S116" s="29">
        <f>7789.59/5</f>
        <v>1557.9180000000001</v>
      </c>
      <c r="T116" s="28">
        <f>651.15/5</f>
        <v>130.22999999999999</v>
      </c>
      <c r="U116" s="28">
        <v>11.96</v>
      </c>
      <c r="V11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W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X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Y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Z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6" x14ac:dyDescent="0.3">
      <c r="B117">
        <v>114</v>
      </c>
      <c r="C117" s="26" t="s">
        <v>206</v>
      </c>
      <c r="D117" s="26" t="s">
        <v>156</v>
      </c>
      <c r="E117" s="26">
        <v>108</v>
      </c>
      <c r="F117" s="26" t="s">
        <v>227</v>
      </c>
      <c r="G117" s="26" t="s">
        <v>163</v>
      </c>
      <c r="H117" s="27" t="s">
        <v>209</v>
      </c>
      <c r="I117" s="31" t="s">
        <v>225</v>
      </c>
      <c r="J117" s="27"/>
      <c r="K117" s="32"/>
      <c r="L117" s="29"/>
      <c r="M117" s="34"/>
      <c r="N117" s="28">
        <v>139.27000000000001</v>
      </c>
      <c r="O117" s="29">
        <v>19138.57</v>
      </c>
      <c r="P117" s="28">
        <v>375.18</v>
      </c>
      <c r="Q117" s="28">
        <v>51.01</v>
      </c>
      <c r="R117" s="30">
        <v>11599.53</v>
      </c>
      <c r="S117" s="29">
        <v>3245.53</v>
      </c>
      <c r="T117" s="28">
        <v>26.56</v>
      </c>
      <c r="U117" s="28">
        <v>122.18</v>
      </c>
      <c r="V11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W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X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Y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Z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6" x14ac:dyDescent="0.3">
      <c r="B118">
        <v>115</v>
      </c>
      <c r="C118" s="26" t="s">
        <v>206</v>
      </c>
      <c r="D118" s="26" t="s">
        <v>156</v>
      </c>
      <c r="E118" s="26">
        <v>108</v>
      </c>
      <c r="F118" s="26" t="s">
        <v>227</v>
      </c>
      <c r="G118" s="26" t="s">
        <v>163</v>
      </c>
      <c r="H118" s="27" t="s">
        <v>210</v>
      </c>
      <c r="I118" s="31" t="s">
        <v>224</v>
      </c>
      <c r="J118" s="27" t="s">
        <v>32</v>
      </c>
      <c r="K118" s="32"/>
      <c r="L118" s="29"/>
      <c r="M118" s="34"/>
      <c r="N118" s="28">
        <v>140.1</v>
      </c>
      <c r="O118" s="29">
        <v>19028.63</v>
      </c>
      <c r="P118" s="28">
        <v>375.1</v>
      </c>
      <c r="Q118" s="28">
        <v>50.73</v>
      </c>
      <c r="R118" s="30">
        <v>14202.83</v>
      </c>
      <c r="S118" s="29">
        <v>2387</v>
      </c>
      <c r="T118" s="28">
        <v>29.49</v>
      </c>
      <c r="U118" s="28">
        <v>80.930000000000007</v>
      </c>
      <c r="V11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W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X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Y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Z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6" x14ac:dyDescent="0.3">
      <c r="B119">
        <v>116</v>
      </c>
      <c r="C119" s="26" t="s">
        <v>206</v>
      </c>
      <c r="D119" s="26" t="s">
        <v>156</v>
      </c>
      <c r="E119" s="26">
        <v>118</v>
      </c>
      <c r="F119" s="26" t="s">
        <v>211</v>
      </c>
      <c r="G119" s="26" t="s">
        <v>212</v>
      </c>
      <c r="H119" s="27"/>
      <c r="I119" s="27"/>
      <c r="J119" s="27"/>
      <c r="K119" s="32"/>
      <c r="L119" s="29"/>
      <c r="M119" s="34"/>
      <c r="N119" s="28">
        <v>56.38</v>
      </c>
      <c r="O119" s="29">
        <v>29352</v>
      </c>
      <c r="P119" s="28">
        <v>604.24</v>
      </c>
      <c r="Q119" s="28">
        <v>48.58</v>
      </c>
      <c r="R119" s="30">
        <v>3221.89</v>
      </c>
      <c r="S119" s="29">
        <v>6311</v>
      </c>
      <c r="T119" s="28">
        <v>49.18</v>
      </c>
      <c r="U119" s="28">
        <v>128.31</v>
      </c>
      <c r="V11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W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X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Y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Z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6" x14ac:dyDescent="0.3">
      <c r="B120">
        <v>117</v>
      </c>
      <c r="C120" s="26" t="s">
        <v>206</v>
      </c>
      <c r="D120" s="26" t="s">
        <v>156</v>
      </c>
      <c r="E120" s="26">
        <v>126</v>
      </c>
      <c r="F120" s="26" t="s">
        <v>213</v>
      </c>
      <c r="G120" s="26" t="s">
        <v>214</v>
      </c>
      <c r="H120" s="27"/>
      <c r="I120" s="27"/>
      <c r="J120" s="27"/>
      <c r="K120" s="32"/>
      <c r="L120" s="29"/>
      <c r="M120" s="34"/>
      <c r="N120" s="28">
        <v>37.9</v>
      </c>
      <c r="O120" s="29">
        <v>32110.52</v>
      </c>
      <c r="P120" s="28">
        <v>821.7</v>
      </c>
      <c r="Q120" s="28">
        <v>39.08</v>
      </c>
      <c r="R120" s="30">
        <v>1006.56</v>
      </c>
      <c r="S120" s="29">
        <v>10507</v>
      </c>
      <c r="T120" s="28">
        <v>94.55</v>
      </c>
      <c r="U120" s="28">
        <v>111.13</v>
      </c>
      <c r="V12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W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X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Y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Z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6" x14ac:dyDescent="0.3">
      <c r="B121">
        <v>118</v>
      </c>
      <c r="C121" s="26" t="s">
        <v>206</v>
      </c>
      <c r="D121" s="26" t="s">
        <v>156</v>
      </c>
      <c r="E121" s="26">
        <v>127</v>
      </c>
      <c r="F121" s="26" t="s">
        <v>226</v>
      </c>
      <c r="G121" s="26" t="s">
        <v>215</v>
      </c>
      <c r="H121" s="27"/>
      <c r="I121" s="31" t="s">
        <v>216</v>
      </c>
      <c r="J121" s="27"/>
      <c r="K121" s="32"/>
      <c r="L121" s="29"/>
      <c r="M121" s="34"/>
      <c r="N121" s="28">
        <v>201.7</v>
      </c>
      <c r="O121" s="29">
        <v>13802</v>
      </c>
      <c r="P121" s="28">
        <v>359.22</v>
      </c>
      <c r="Q121" s="28">
        <v>38.42</v>
      </c>
      <c r="R121" s="30">
        <v>6846.19</v>
      </c>
      <c r="S121" s="29">
        <v>5356</v>
      </c>
      <c r="T121" s="28">
        <v>27.27</v>
      </c>
      <c r="U121" s="28">
        <v>196.41</v>
      </c>
      <c r="V12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W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X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Y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Z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6" x14ac:dyDescent="0.3">
      <c r="B122">
        <v>119</v>
      </c>
      <c r="C122" s="26" t="s">
        <v>206</v>
      </c>
      <c r="D122" s="26" t="s">
        <v>156</v>
      </c>
      <c r="E122" s="26">
        <v>127</v>
      </c>
      <c r="F122" s="26" t="s">
        <v>226</v>
      </c>
      <c r="G122" s="26" t="s">
        <v>215</v>
      </c>
      <c r="H122" s="27"/>
      <c r="I122" s="31" t="s">
        <v>217</v>
      </c>
      <c r="J122" s="27"/>
      <c r="K122" s="32"/>
      <c r="L122" s="29"/>
      <c r="M122" s="34"/>
      <c r="N122" s="28">
        <v>190.98</v>
      </c>
      <c r="O122" s="29">
        <v>14623</v>
      </c>
      <c r="P122" s="28">
        <v>358.08</v>
      </c>
      <c r="Q122" s="28">
        <v>40.840000000000003</v>
      </c>
      <c r="R122" s="30">
        <v>8538.84</v>
      </c>
      <c r="S122" s="29">
        <v>3964</v>
      </c>
      <c r="T122" s="28">
        <v>29.55</v>
      </c>
      <c r="U122" s="28">
        <v>134.13999999999999</v>
      </c>
      <c r="V12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W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X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Y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Z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6" x14ac:dyDescent="0.3">
      <c r="B123">
        <v>120</v>
      </c>
      <c r="C123" s="26" t="s">
        <v>206</v>
      </c>
      <c r="D123" s="26" t="s">
        <v>156</v>
      </c>
      <c r="E123" s="26">
        <v>127</v>
      </c>
      <c r="F123" s="26" t="s">
        <v>226</v>
      </c>
      <c r="G123" s="26" t="s">
        <v>215</v>
      </c>
      <c r="H123" s="27"/>
      <c r="I123" s="31" t="s">
        <v>218</v>
      </c>
      <c r="J123" s="27"/>
      <c r="K123" s="32"/>
      <c r="L123" s="29"/>
      <c r="M123" s="34"/>
      <c r="N123" s="28">
        <v>196.33</v>
      </c>
      <c r="O123" s="29">
        <v>14127</v>
      </c>
      <c r="P123" s="28">
        <v>360.55</v>
      </c>
      <c r="Q123" s="28">
        <v>39.18</v>
      </c>
      <c r="R123" s="30">
        <v>10136.27</v>
      </c>
      <c r="S123" s="29">
        <v>2947</v>
      </c>
      <c r="T123" s="28">
        <v>33.47</v>
      </c>
      <c r="U123" s="28">
        <v>88.04</v>
      </c>
      <c r="V12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W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X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Y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Z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6" x14ac:dyDescent="0.3">
      <c r="B124">
        <v>121</v>
      </c>
      <c r="C124" s="26" t="s">
        <v>206</v>
      </c>
      <c r="D124" s="26" t="s">
        <v>156</v>
      </c>
      <c r="E124" s="26">
        <v>127</v>
      </c>
      <c r="F124" s="26" t="s">
        <v>226</v>
      </c>
      <c r="G124" s="26" t="s">
        <v>215</v>
      </c>
      <c r="H124" s="27"/>
      <c r="I124" s="31" t="s">
        <v>202</v>
      </c>
      <c r="J124" s="27"/>
      <c r="K124" s="32"/>
      <c r="L124" s="29"/>
      <c r="M124" s="34"/>
      <c r="N124" s="28">
        <v>201.69</v>
      </c>
      <c r="O124" s="29">
        <v>13798</v>
      </c>
      <c r="P124" s="28">
        <v>359.34</v>
      </c>
      <c r="Q124" s="28">
        <v>38.4</v>
      </c>
      <c r="R124" s="30">
        <v>10676.69</v>
      </c>
      <c r="S124" s="29">
        <v>2361</v>
      </c>
      <c r="T124" s="28">
        <v>39.67</v>
      </c>
      <c r="U124" s="28">
        <v>59.53</v>
      </c>
      <c r="V12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W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X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Y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Z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6" x14ac:dyDescent="0.3">
      <c r="B125">
        <v>122</v>
      </c>
      <c r="C125" s="26" t="s">
        <v>206</v>
      </c>
      <c r="D125" s="26" t="s">
        <v>156</v>
      </c>
      <c r="E125" s="26">
        <v>132</v>
      </c>
      <c r="F125" s="26" t="s">
        <v>238</v>
      </c>
      <c r="G125" s="26" t="s">
        <v>208</v>
      </c>
      <c r="H125" s="27"/>
      <c r="I125" s="31" t="s">
        <v>268</v>
      </c>
      <c r="J125" s="27"/>
      <c r="K125" s="32"/>
      <c r="L125" s="29"/>
      <c r="M125" s="34"/>
      <c r="N125" s="28">
        <v>166.98</v>
      </c>
      <c r="O125" s="29">
        <v>10863.79</v>
      </c>
      <c r="P125" s="28">
        <v>551.25</v>
      </c>
      <c r="Q125" s="28">
        <v>19.71</v>
      </c>
      <c r="R125" s="30">
        <v>5150.16</v>
      </c>
      <c r="S125" s="29">
        <v>2204.2800000000002</v>
      </c>
      <c r="T125" s="28">
        <v>88.08</v>
      </c>
      <c r="U125" s="28">
        <v>25.02</v>
      </c>
      <c r="V12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W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X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Y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Z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6" x14ac:dyDescent="0.3">
      <c r="B126">
        <v>123</v>
      </c>
      <c r="C126" s="26" t="s">
        <v>206</v>
      </c>
      <c r="D126" s="26" t="s">
        <v>156</v>
      </c>
      <c r="E126" s="26">
        <v>134</v>
      </c>
      <c r="F126" s="26" t="s">
        <v>269</v>
      </c>
      <c r="G126" s="26" t="s">
        <v>214</v>
      </c>
      <c r="H126" s="27"/>
      <c r="I126" s="27"/>
      <c r="J126" s="27"/>
      <c r="K126" s="32"/>
      <c r="L126" s="29"/>
      <c r="M126" s="34"/>
      <c r="N126" s="28">
        <v>101.43</v>
      </c>
      <c r="O126" s="29">
        <v>18633.27</v>
      </c>
      <c r="P126" s="28">
        <v>529.1</v>
      </c>
      <c r="Q126" s="28">
        <v>35.22</v>
      </c>
      <c r="R126" s="30">
        <v>3142</v>
      </c>
      <c r="S126" s="29">
        <v>4836</v>
      </c>
      <c r="T126" s="28">
        <v>65.8</v>
      </c>
      <c r="U126" s="28">
        <v>73.5</v>
      </c>
      <c r="V12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W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X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Y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Z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6" x14ac:dyDescent="0.3">
      <c r="B127">
        <v>124</v>
      </c>
      <c r="C127" s="26" t="s">
        <v>206</v>
      </c>
      <c r="D127" s="26" t="s">
        <v>156</v>
      </c>
      <c r="E127" s="26">
        <v>137</v>
      </c>
      <c r="F127" s="26" t="s">
        <v>270</v>
      </c>
      <c r="G127" s="26" t="s">
        <v>165</v>
      </c>
      <c r="H127" s="27"/>
      <c r="I127" s="31" t="s">
        <v>271</v>
      </c>
      <c r="J127" s="27"/>
      <c r="K127" s="32"/>
      <c r="L127" s="29"/>
      <c r="M127" s="34"/>
      <c r="N127" s="28">
        <v>163.87</v>
      </c>
      <c r="O127" s="29">
        <v>12527</v>
      </c>
      <c r="P127" s="28">
        <v>487.16</v>
      </c>
      <c r="Q127" s="28">
        <v>25.71</v>
      </c>
      <c r="R127" s="30">
        <v>3618</v>
      </c>
      <c r="S127" s="29">
        <v>3584</v>
      </c>
      <c r="T127" s="28">
        <v>77.11</v>
      </c>
      <c r="U127" s="28">
        <v>46.48</v>
      </c>
      <c r="V12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@AC v0.7.5 [124]</v>
      </c>
      <c r="W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12500H|mmaenpaa||v0.7.5|163,87|12527|487,16|25,71</v>
      </c>
      <c r="X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12500H|mmaenpaa||v0.7.5|3618|3584|77,11|46,48</v>
      </c>
      <c r="Y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12500H[/TD][TD]mmaenpaa[/TD][TD][/TD][TD]v0.7.5[/TD][TD]163,87[/TD][TD]12527[/TD][TD]487,16[/TD][TD]25,71[/TD][/TR]</v>
      </c>
      <c r="Z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12500H[/TD][TD]mmaenpaa[/TD][TD][/TD][TD]v0.7.5[/TD][TD]3618[/TD][TD]3584[/TD][TD]77,11[/TD][TD]46,48[/TD][/TR]</v>
      </c>
    </row>
    <row r="128" spans="2:26" x14ac:dyDescent="0.3">
      <c r="B128">
        <v>125</v>
      </c>
      <c r="C128" s="26" t="s">
        <v>206</v>
      </c>
      <c r="D128" s="26" t="s">
        <v>156</v>
      </c>
      <c r="E128" s="26">
        <v>139</v>
      </c>
      <c r="F128" s="26" t="s">
        <v>272</v>
      </c>
      <c r="G128" s="26" t="s">
        <v>165</v>
      </c>
      <c r="H128" s="27"/>
      <c r="I128" s="31" t="s">
        <v>271</v>
      </c>
      <c r="J128" s="27"/>
      <c r="K128" s="32"/>
      <c r="L128" s="29"/>
      <c r="M128" s="34"/>
      <c r="N128" s="28">
        <v>178</v>
      </c>
      <c r="O128" s="29">
        <v>10571</v>
      </c>
      <c r="P128" s="28">
        <v>531.29999999999995</v>
      </c>
      <c r="Q128" s="28">
        <v>19.899999999999999</v>
      </c>
      <c r="R128" s="30">
        <v>5024.5</v>
      </c>
      <c r="S128" s="29">
        <v>2505</v>
      </c>
      <c r="T128" s="28">
        <v>79.5</v>
      </c>
      <c r="U128" s="28">
        <v>31.5</v>
      </c>
      <c r="V12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W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X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Y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Z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6" x14ac:dyDescent="0.3">
      <c r="B129">
        <v>126</v>
      </c>
      <c r="C129" s="26" t="s">
        <v>206</v>
      </c>
      <c r="D129" s="26" t="s">
        <v>156</v>
      </c>
      <c r="E129" s="26">
        <v>140</v>
      </c>
      <c r="F129" s="26" t="s">
        <v>273</v>
      </c>
      <c r="G129" s="26" t="s">
        <v>165</v>
      </c>
      <c r="H129" s="27"/>
      <c r="I129" s="31" t="s">
        <v>271</v>
      </c>
      <c r="J129" s="27"/>
      <c r="K129" s="32"/>
      <c r="L129" s="29"/>
      <c r="M129" s="34"/>
      <c r="N129" s="28">
        <v>185.54</v>
      </c>
      <c r="O129" s="29">
        <v>8977</v>
      </c>
      <c r="P129" s="28">
        <v>600.4</v>
      </c>
      <c r="Q129" s="28">
        <v>14.95</v>
      </c>
      <c r="R129" s="30">
        <v>4706.6000000000004</v>
      </c>
      <c r="S129" s="29">
        <v>1779</v>
      </c>
      <c r="T129" s="28">
        <v>119.44</v>
      </c>
      <c r="U129" s="28">
        <v>14.89</v>
      </c>
      <c r="V12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W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X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Y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Z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6" x14ac:dyDescent="0.3">
      <c r="B130">
        <v>127</v>
      </c>
      <c r="C130" s="26" t="s">
        <v>206</v>
      </c>
      <c r="D130" s="26" t="s">
        <v>156</v>
      </c>
      <c r="E130" s="26">
        <v>143</v>
      </c>
      <c r="F130" s="26" t="s">
        <v>351</v>
      </c>
      <c r="G130" s="26" t="s">
        <v>352</v>
      </c>
      <c r="H130" s="27"/>
      <c r="I130" s="31"/>
      <c r="J130" s="27"/>
      <c r="K130" s="32"/>
      <c r="L130" s="29"/>
      <c r="M130" s="34"/>
      <c r="N130" s="28">
        <v>225.15</v>
      </c>
      <c r="O130" s="29">
        <v>8885.26</v>
      </c>
      <c r="P130" s="28">
        <v>499.88</v>
      </c>
      <c r="Q130" s="28">
        <v>17.77</v>
      </c>
      <c r="R130" s="30">
        <v>2777.25</v>
      </c>
      <c r="S130" s="29">
        <v>2708.4</v>
      </c>
      <c r="T130" s="28">
        <v>132.94399999999999</v>
      </c>
      <c r="U130" s="28">
        <v>20.37</v>
      </c>
      <c r="V13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i5-1235U (ADL) v0.7.5 [127]</v>
      </c>
      <c r="W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127|AT #143|i5-1235U (ADL)|igor_kavinski||v0.7.5|225,15|8885|499,88|17,77</v>
      </c>
      <c r="X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127|AT #143|i5-1235U (ADL)|igor_kavinski||v0.7.5|2777,25|2708|132,94|20,37</v>
      </c>
      <c r="Y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[TR][TD]127[/TD][TD]AT #143[/TD][TD]i5-1235U (ADL)[/TD][TD]igor_kavinski[/TD][TD][/TD][TD]v0.7.5[/TD][TD]225,15[/TD][TD]8885[/TD][TD]499,88[/TD][TD]17,77[/TD][/TR]</v>
      </c>
      <c r="Z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[TR][TD]127[/TD][TD]AT #143[/TD][TD]i5-1235U (ADL)[/TD][TD]igor_kavinski[/TD][TD][/TD][TD]v0.7.5[/TD][TD]2777,25[/TD][TD]2708[/TD][TD]132,94[/TD][TD]20,37[/TD][/TR]</v>
      </c>
    </row>
    <row r="131" spans="2:26" x14ac:dyDescent="0.3">
      <c r="B131">
        <v>128</v>
      </c>
      <c r="C131" s="26" t="s">
        <v>333</v>
      </c>
      <c r="D131" s="26" t="s">
        <v>156</v>
      </c>
      <c r="E131" s="26">
        <v>145</v>
      </c>
      <c r="F131" s="26" t="s">
        <v>246</v>
      </c>
      <c r="G131" s="26" t="s">
        <v>167</v>
      </c>
      <c r="H131" s="27"/>
      <c r="I131" s="31" t="s">
        <v>271</v>
      </c>
      <c r="J131" s="27"/>
      <c r="K131" s="32">
        <v>3368.72</v>
      </c>
      <c r="L131" s="29">
        <v>2133</v>
      </c>
      <c r="M131" s="34">
        <v>139.15</v>
      </c>
      <c r="N131" s="28"/>
      <c r="O131" s="29"/>
      <c r="P131" s="28"/>
      <c r="Q131" s="28"/>
      <c r="R131" s="30"/>
      <c r="S131" s="29"/>
      <c r="T131" s="28"/>
      <c r="U131" s="28"/>
      <c r="V13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[128]</v>
      </c>
      <c r="W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128|AT #145|R7 4700U (RNR)|BorisTheBlade82||v0.8.0|0|0|0|0</v>
      </c>
      <c r="X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128|AT #145|R7 4700U (RNR)|BorisTheBlade82||v0.8.0|0|0|0|0</v>
      </c>
      <c r="Y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[TR][TD]128[/TD][TD]AT #145[/TD][TD]R7 4700U (RNR)[/TD][TD]BorisTheBlade82[/TD][TD][/TD][TD]v0.8.0[/TD][TD]0[/TD][TD]0[/TD][TD]0[/TD][TD]0[/TD][/TR]</v>
      </c>
      <c r="Z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[TR][TD]128[/TD][TD]AT #145[/TD][TD]R7 4700U (RNR)[/TD][TD]BorisTheBlade82[/TD][TD][/TD][TD]v0.8.0[/TD][TD]0[/TD][TD]0[/TD][TD]0[/TD][TD]0[/TD][/TR]</v>
      </c>
    </row>
    <row r="132" spans="2:26" x14ac:dyDescent="0.3">
      <c r="B132">
        <v>129</v>
      </c>
      <c r="C132" s="26" t="s">
        <v>333</v>
      </c>
      <c r="D132" s="26" t="s">
        <v>156</v>
      </c>
      <c r="E132" s="26">
        <v>145</v>
      </c>
      <c r="F132" s="26" t="s">
        <v>246</v>
      </c>
      <c r="G132" s="26" t="s">
        <v>167</v>
      </c>
      <c r="H132" s="27"/>
      <c r="I132" s="31" t="s">
        <v>334</v>
      </c>
      <c r="J132" s="27" t="s">
        <v>32</v>
      </c>
      <c r="K132" s="35">
        <v>4591.3</v>
      </c>
      <c r="L132" s="36">
        <v>1209</v>
      </c>
      <c r="M132" s="35">
        <v>180.18</v>
      </c>
      <c r="N132" s="28"/>
      <c r="O132" s="29"/>
      <c r="P132" s="28"/>
      <c r="Q132" s="28"/>
      <c r="R132" s="30"/>
      <c r="S132" s="29"/>
      <c r="T132" s="28"/>
      <c r="U132" s="28"/>
      <c r="V13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[129]</v>
      </c>
      <c r="W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129|AT #145|R7 4700U (RNR)|BorisTheBlade82||v0.8.0|0|0|0|0</v>
      </c>
      <c r="X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129|AT #145|R7 4700U (RNR)|BorisTheBlade82||v0.8.0|0|0|0|0</v>
      </c>
      <c r="Y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[TR][TD]129[/TD][TD]AT #145[/TD][TD]R7 4700U (RNR)[/TD][TD]BorisTheBlade82[/TD][TD][/TD][TD]v0.8.0[/TD][TD]0[/TD][TD]0[/TD][TD]0[/TD][TD]0[/TD][/TR]</v>
      </c>
      <c r="Z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[TR][TD]129[/TD][TD]AT #145[/TD][TD]R7 4700U (RNR)[/TD][TD]BorisTheBlade82[/TD][TD][/TD][TD]v0.8.0[/TD][TD]0[/TD][TD]0[/TD][TD]0[/TD][TD]0[/TD][/TR]</v>
      </c>
    </row>
    <row r="133" spans="2:26" x14ac:dyDescent="0.3">
      <c r="B133" s="39">
        <v>130</v>
      </c>
      <c r="C133" s="26" t="s">
        <v>333</v>
      </c>
      <c r="D133" s="26" t="s">
        <v>156</v>
      </c>
      <c r="E133" s="26">
        <v>149</v>
      </c>
      <c r="F133" s="26" t="s">
        <v>227</v>
      </c>
      <c r="G133" s="26" t="s">
        <v>163</v>
      </c>
      <c r="H133" s="27" t="s">
        <v>353</v>
      </c>
      <c r="I133" s="31" t="s">
        <v>356</v>
      </c>
      <c r="J133" s="27"/>
      <c r="K133" s="35">
        <v>687</v>
      </c>
      <c r="L133" s="36">
        <v>8510</v>
      </c>
      <c r="M133" s="35">
        <v>170.95</v>
      </c>
      <c r="N133" s="28"/>
      <c r="O133" s="29"/>
      <c r="P133" s="28"/>
      <c r="Q133" s="28"/>
      <c r="R133" s="30"/>
      <c r="S133" s="29"/>
      <c r="T133" s="28"/>
      <c r="U133" s="28"/>
      <c r="V133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@50w [130]</v>
      </c>
      <c r="W133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130|AT #149|R9 7950X (RPL)|Det0x|PPT 50w|v0.8.0|0|0|0|0</v>
      </c>
      <c r="X133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130|AT #149|R9 7950X (RPL)|Det0x|PPT 50w|v0.8.0|0|0|0|0</v>
      </c>
      <c r="Y133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[TR][TD]130[/TD][TD]AT #149[/TD][TD]R9 7950X (RPL)[/TD][TD]Det0x[/TD][TD]PPT 50w[/TD][TD]v0.8.0[/TD][TD]0[/TD][TD]0[/TD][TD]0[/TD][TD]0[/TD][/TR]</v>
      </c>
      <c r="Z133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[TR][TD]130[/TD][TD]AT #149[/TD][TD]R9 7950X (RPL)[/TD][TD]Det0x[/TD][TD]PPT 50w[/TD][TD]v0.8.0[/TD][TD]0[/TD][TD]0[/TD][TD]0[/TD][TD]0[/TD][/TR]</v>
      </c>
    </row>
    <row r="134" spans="2:26" x14ac:dyDescent="0.3">
      <c r="B134" s="39">
        <v>131</v>
      </c>
      <c r="C134" s="26" t="s">
        <v>333</v>
      </c>
      <c r="D134" s="26" t="s">
        <v>156</v>
      </c>
      <c r="E134" s="26">
        <v>149</v>
      </c>
      <c r="F134" s="26" t="s">
        <v>227</v>
      </c>
      <c r="G134" s="26" t="s">
        <v>163</v>
      </c>
      <c r="H134" s="27" t="s">
        <v>354</v>
      </c>
      <c r="I134" s="31" t="s">
        <v>202</v>
      </c>
      <c r="J134" s="27"/>
      <c r="K134" s="35">
        <v>1001</v>
      </c>
      <c r="L134" s="36">
        <v>8264</v>
      </c>
      <c r="M134" s="35">
        <v>120.88</v>
      </c>
      <c r="N134" s="28"/>
      <c r="O134" s="29"/>
      <c r="P134" s="28"/>
      <c r="Q134" s="28"/>
      <c r="R134" s="30"/>
      <c r="S134" s="29"/>
      <c r="T134" s="28"/>
      <c r="U134" s="28"/>
      <c r="V134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@65w [131]</v>
      </c>
      <c r="W134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131|AT #149|R9 7950X (RPL)|Det0x|PPT 65w|v0.8.0|0|0|0|0</v>
      </c>
      <c r="X134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131|AT #149|R9 7950X (RPL)|Det0x|PPT 65w|v0.8.0|0|0|0|0</v>
      </c>
      <c r="Y134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[TR][TD]131[/TD][TD]AT #149[/TD][TD]R9 7950X (RPL)[/TD][TD]Det0x[/TD][TD]PPT 65w[/TD][TD]v0.8.0[/TD][TD]0[/TD][TD]0[/TD][TD]0[/TD][TD]0[/TD][/TR]</v>
      </c>
      <c r="Z134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[TR][TD]131[/TD][TD]AT #149[/TD][TD]R9 7950X (RPL)[/TD][TD]Det0x[/TD][TD]PPT 65w[/TD][TD]v0.8.0[/TD][TD]0[/TD][TD]0[/TD][TD]0[/TD][TD]0[/TD][/TR]</v>
      </c>
    </row>
    <row r="135" spans="2:26" x14ac:dyDescent="0.3">
      <c r="B135" s="39">
        <v>132</v>
      </c>
      <c r="C135" s="26" t="s">
        <v>333</v>
      </c>
      <c r="D135" s="26" t="s">
        <v>156</v>
      </c>
      <c r="E135" s="26">
        <v>149</v>
      </c>
      <c r="F135" s="26" t="s">
        <v>227</v>
      </c>
      <c r="G135" s="26" t="s">
        <v>163</v>
      </c>
      <c r="H135" s="27" t="s">
        <v>355</v>
      </c>
      <c r="I135" s="31" t="s">
        <v>357</v>
      </c>
      <c r="J135" s="27"/>
      <c r="K135" s="35">
        <v>911</v>
      </c>
      <c r="L135" s="36">
        <v>9528</v>
      </c>
      <c r="M135" s="35">
        <v>115.24</v>
      </c>
      <c r="N135" s="28"/>
      <c r="O135" s="29"/>
      <c r="P135" s="28"/>
      <c r="Q135" s="28"/>
      <c r="R135" s="30"/>
      <c r="S135" s="29"/>
      <c r="T135" s="28"/>
      <c r="U135" s="28"/>
      <c r="V135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@105w [132]</v>
      </c>
      <c r="W135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132|AT #149|R9 7950X (RPL)|Det0x|PPT 105w|v0.8.0|0|0|0|0</v>
      </c>
      <c r="X135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132|AT #149|R9 7950X (RPL)|Det0x|PPT 105w|v0.8.0|0|0|0|0</v>
      </c>
      <c r="Y135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[TR][TD]132[/TD][TD]AT #149[/TD][TD]R9 7950X (RPL)[/TD][TD]Det0x[/TD][TD]PPT 105w[/TD][TD]v0.8.0[/TD][TD]0[/TD][TD]0[/TD][TD]0[/TD][TD]0[/TD][/TR]</v>
      </c>
      <c r="Z135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[TR][TD]132[/TD][TD]AT #149[/TD][TD]R9 7950X (RPL)[/TD][TD]Det0x[/TD][TD]PPT 105w[/TD][TD]v0.8.0[/TD][TD]0[/TD][TD]0[/TD][TD]0[/TD][TD]0[/TD][/TR]</v>
      </c>
    </row>
    <row r="136" spans="2:26" x14ac:dyDescent="0.3">
      <c r="B136" s="39">
        <v>133</v>
      </c>
      <c r="C136" s="26" t="s">
        <v>333</v>
      </c>
      <c r="D136" s="26" t="s">
        <v>156</v>
      </c>
      <c r="E136" s="26">
        <v>149</v>
      </c>
      <c r="F136" s="26" t="s">
        <v>227</v>
      </c>
      <c r="G136" s="26" t="s">
        <v>163</v>
      </c>
      <c r="H136" s="27" t="s">
        <v>358</v>
      </c>
      <c r="I136" s="31" t="s">
        <v>217</v>
      </c>
      <c r="J136" s="27"/>
      <c r="K136" s="35">
        <v>872</v>
      </c>
      <c r="L136" s="36">
        <v>9997</v>
      </c>
      <c r="M136" s="35">
        <v>114.75</v>
      </c>
      <c r="N136" s="28"/>
      <c r="O136" s="29"/>
      <c r="P136" s="28"/>
      <c r="Q136" s="28"/>
      <c r="R136" s="30"/>
      <c r="S136" s="29"/>
      <c r="T136" s="28"/>
      <c r="U136" s="28"/>
      <c r="V136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@160w [133]</v>
      </c>
      <c r="W136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133|AT #149|R9 7950X (RPL)|Det0x|PPT 160w|v0.8.0|0|0|0|0</v>
      </c>
      <c r="X136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133|AT #149|R9 7950X (RPL)|Det0x|PPT 160w|v0.8.0|0|0|0|0</v>
      </c>
      <c r="Y136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[TR][TD]133[/TD][TD]AT #149[/TD][TD]R9 7950X (RPL)[/TD][TD]Det0x[/TD][TD]PPT 160w[/TD][TD]v0.8.0[/TD][TD]0[/TD][TD]0[/TD][TD]0[/TD][TD]0[/TD][/TR]</v>
      </c>
      <c r="Z136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[TR][TD]133[/TD][TD]AT #149[/TD][TD]R9 7950X (RPL)[/TD][TD]Det0x[/TD][TD]PPT 160w[/TD][TD]v0.8.0[/TD][TD]0[/TD][TD]0[/TD][TD]0[/TD][TD]0[/TD][/TR]</v>
      </c>
    </row>
    <row r="137" spans="2:26" x14ac:dyDescent="0.3">
      <c r="B137" s="39">
        <v>134</v>
      </c>
      <c r="C137" s="26" t="s">
        <v>333</v>
      </c>
      <c r="D137" s="26" t="s">
        <v>156</v>
      </c>
      <c r="E137" s="26">
        <v>149</v>
      </c>
      <c r="F137" s="26" t="s">
        <v>227</v>
      </c>
      <c r="G137" s="26" t="s">
        <v>163</v>
      </c>
      <c r="H137" s="27" t="s">
        <v>359</v>
      </c>
      <c r="I137" s="31" t="s">
        <v>360</v>
      </c>
      <c r="J137" s="27"/>
      <c r="K137" s="35">
        <v>789</v>
      </c>
      <c r="L137" s="36">
        <v>11117</v>
      </c>
      <c r="M137" s="35">
        <v>114.08</v>
      </c>
      <c r="N137" s="28"/>
      <c r="O137" s="29"/>
      <c r="P137" s="28"/>
      <c r="Q137" s="28"/>
      <c r="R137" s="30"/>
      <c r="S137" s="29"/>
      <c r="T137" s="28"/>
      <c r="U137" s="28"/>
      <c r="V137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@260w [134]</v>
      </c>
      <c r="W137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134|AT #149|R9 7950X (RPL)|Det0x|PPT 260w|v0.8.0|0|0|0|0</v>
      </c>
      <c r="X137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134|AT #149|R9 7950X (RPL)|Det0x|PPT 260w|v0.8.0|0|0|0|0</v>
      </c>
      <c r="Y137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[TR][TD]134[/TD][TD]AT #149[/TD][TD]R9 7950X (RPL)[/TD][TD]Det0x[/TD][TD]PPT 260w[/TD][TD]v0.8.0[/TD][TD]0[/TD][TD]0[/TD][TD]0[/TD][TD]0[/TD][/TR]</v>
      </c>
      <c r="Z137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[TR][TD]134[/TD][TD]AT #149[/TD][TD]R9 7950X (RPL)[/TD][TD]Det0x[/TD][TD]PPT 260w[/TD][TD]v0.8.0[/TD][TD]0[/TD][TD]0[/TD][TD]0[/TD][TD]0[/TD][/TR]</v>
      </c>
    </row>
    <row r="138" spans="2:26" x14ac:dyDescent="0.3">
      <c r="B138" s="39">
        <v>135</v>
      </c>
      <c r="C138" s="26" t="s">
        <v>333</v>
      </c>
      <c r="D138" s="26" t="s">
        <v>156</v>
      </c>
      <c r="E138" s="26">
        <v>158</v>
      </c>
      <c r="F138" s="26" t="s">
        <v>361</v>
      </c>
      <c r="G138" s="26" t="s">
        <v>352</v>
      </c>
      <c r="H138" s="27"/>
      <c r="I138" s="27"/>
      <c r="J138" s="27"/>
      <c r="K138" s="35"/>
      <c r="L138" s="36"/>
      <c r="M138" s="35"/>
      <c r="N138" s="28">
        <v>187</v>
      </c>
      <c r="O138" s="29">
        <v>11669</v>
      </c>
      <c r="P138" s="28">
        <v>458.11</v>
      </c>
      <c r="Q138" s="28">
        <v>25.5</v>
      </c>
      <c r="R138" s="30">
        <v>2697</v>
      </c>
      <c r="S138" s="29">
        <v>4866</v>
      </c>
      <c r="T138" s="28">
        <v>76.209999999999994</v>
      </c>
      <c r="U138" s="28">
        <v>63.8</v>
      </c>
      <c r="V138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[135]</v>
      </c>
      <c r="W138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135|AT #158|i5-12500 (ADL)|igor_kavinski||v0.8.0|187|11669|458,11|25,5</v>
      </c>
      <c r="X138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135|AT #158|i5-12500 (ADL)|igor_kavinski||v0.8.0|2697|4866|76,21|63,8</v>
      </c>
      <c r="Y138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[TR][TD]135[/TD][TD]AT #158[/TD][TD]i5-12500 (ADL)[/TD][TD]igor_kavinski[/TD][TD][/TD][TD]v0.8.0[/TD][TD]187[/TD][TD]11669[/TD][TD]458,11[/TD][TD]25,5[/TD][/TR]</v>
      </c>
      <c r="Z138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[TR][TD]135[/TD][TD]AT #158[/TD][TD]i5-12500 (ADL)[/TD][TD]igor_kavinski[/TD][TD][/TD][TD]v0.8.0[/TD][TD]2697[/TD][TD]4866[/TD][TD]76,21[/TD][TD]63,8[/TD][/TR]</v>
      </c>
    </row>
    <row r="139" spans="2:26" x14ac:dyDescent="0.3">
      <c r="B139" s="39">
        <v>136</v>
      </c>
      <c r="C139" s="26" t="s">
        <v>333</v>
      </c>
      <c r="D139" s="26" t="s">
        <v>156</v>
      </c>
      <c r="E139" s="26">
        <v>159</v>
      </c>
      <c r="F139" s="26" t="s">
        <v>361</v>
      </c>
      <c r="G139" s="26" t="s">
        <v>352</v>
      </c>
      <c r="H139" s="27"/>
      <c r="I139" s="27"/>
      <c r="J139" s="27"/>
      <c r="K139" s="35">
        <v>2198</v>
      </c>
      <c r="L139" s="36">
        <v>3602</v>
      </c>
      <c r="M139" s="35">
        <v>126.32</v>
      </c>
      <c r="N139" s="28"/>
      <c r="O139" s="29"/>
      <c r="P139" s="28"/>
      <c r="Q139" s="28"/>
      <c r="R139" s="30"/>
      <c r="S139" s="29"/>
      <c r="T139" s="28"/>
      <c r="U139" s="28"/>
      <c r="V139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[136]</v>
      </c>
      <c r="W139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136|AT #159|i5-12500 (ADL)|igor_kavinski||v0.8.0|0|0|0|0</v>
      </c>
      <c r="X139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136|AT #159|i5-12500 (ADL)|igor_kavinski||v0.8.0|0|0|0|0</v>
      </c>
      <c r="Y139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[TR][TD]136[/TD][TD]AT #159[/TD][TD]i5-12500 (ADL)[/TD][TD]igor_kavinski[/TD][TD][/TD][TD]v0.8.0[/TD][TD]0[/TD][TD]0[/TD][TD]0[/TD][TD]0[/TD][/TR]</v>
      </c>
      <c r="Z139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[TR][TD]136[/TD][TD]AT #159[/TD][TD]i5-12500 (ADL)[/TD][TD]igor_kavinski[/TD][TD][/TD][TD]v0.8.0[/TD][TD]0[/TD][TD]0[/TD][TD]0[/TD][TD]0[/TD][/TR]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topLeftCell="B30" zoomScaleNormal="100" workbookViewId="0">
      <selection activeCell="C22" sqref="C22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115</v>
      </c>
      <c r="C5" s="9" t="s">
        <v>5</v>
      </c>
      <c r="D5" s="9" t="s">
        <v>149</v>
      </c>
      <c r="E5" s="9" t="s">
        <v>29</v>
      </c>
      <c r="F5" s="9" t="s">
        <v>30</v>
      </c>
      <c r="G5" s="9" t="s">
        <v>177</v>
      </c>
      <c r="H5" s="9" t="s">
        <v>176</v>
      </c>
      <c r="I5" s="9" t="s">
        <v>175</v>
      </c>
      <c r="J5" s="9" t="s">
        <v>178</v>
      </c>
      <c r="K5" s="9" t="s">
        <v>179</v>
      </c>
      <c r="L5" s="9" t="s">
        <v>174</v>
      </c>
      <c r="M5" s="9" t="s">
        <v>180</v>
      </c>
      <c r="N5" s="9" t="s">
        <v>181</v>
      </c>
      <c r="O5" s="9" t="s">
        <v>182</v>
      </c>
      <c r="P5" s="9" t="s">
        <v>183</v>
      </c>
      <c r="Q5" s="9" t="s">
        <v>184</v>
      </c>
      <c r="R5" s="9" t="s">
        <v>219</v>
      </c>
      <c r="S5" s="9" t="s">
        <v>220</v>
      </c>
      <c r="T5" s="9" t="s">
        <v>221</v>
      </c>
      <c r="U5" s="9" t="s">
        <v>222</v>
      </c>
      <c r="V5" s="9" t="s">
        <v>223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Chart]]="X",PerfPowerST4[[#This Row],[ExcludeHere]]="X",ISBLANK(GeneralTable[[#This Row],[Cons. CB23MT]])),NA(),GeneralTable[[#This Row],[Cons. CB23MT]]),NA())</f>
        <v>1669.5</v>
      </c>
      <c r="F97" s="12">
        <f>IFERROR(IF(OR(GeneralTable[[#This Row],[Exclude From Chart]]="X",PerfPowerST4[[#This Row],[ExcludeHere]]="X",ISBLANK(GeneralTable[[#This Row],[Cons. CB23MT]])),NA(),GeneralTable[[#This Row],[Dur. CB23MT]]),NA())</f>
        <v>111.3</v>
      </c>
      <c r="G97" s="16">
        <f>1000000000/500/PerfPowerST4[[#This Row],[Cons. MT]]</f>
        <v>1197.9634621144055</v>
      </c>
      <c r="H97" s="16">
        <f>1000000000/1000/PerfPowerST4[[#This Row],[Cons. MT]]</f>
        <v>598.98173105720275</v>
      </c>
      <c r="I97" s="16">
        <f>1000000000/2000/PerfPowerST4[[#This Row],[Cons. MT]]</f>
        <v>299.49086552860138</v>
      </c>
      <c r="J97" s="16">
        <f>1000000000/3000/PerfPowerST4[[#This Row],[Cons. MT]]</f>
        <v>199.66057701906757</v>
      </c>
      <c r="K97" s="16">
        <f>1000000000/4000/PerfPowerST4[[#This Row],[Cons. MT]]</f>
        <v>149.74543276430069</v>
      </c>
      <c r="L97" s="16">
        <f>1000000000/5000/PerfPowerST4[[#This Row],[Cons. MT]]</f>
        <v>119.79634621144055</v>
      </c>
      <c r="M97" s="16">
        <f>1000000000/6000/PerfPowerST4[[#This Row],[Cons. MT]]</f>
        <v>99.830288509533787</v>
      </c>
      <c r="N97" s="16">
        <f>1000000000/7000/PerfPowerST4[[#This Row],[Cons. MT]]</f>
        <v>85.56881872245755</v>
      </c>
      <c r="O97" s="16">
        <f>1000000000/8000/PerfPowerST4[[#This Row],[Cons. MT]]</f>
        <v>74.872716382150344</v>
      </c>
      <c r="P97" s="16">
        <f>1000000000/9000/PerfPowerST4[[#This Row],[Cons. MT]]</f>
        <v>66.553525673022534</v>
      </c>
      <c r="Q97" s="16">
        <f>1000000000/10000/PerfPowerST4[[#This Row],[Cons. MT]]</f>
        <v>59.898173105720275</v>
      </c>
      <c r="R97" s="16">
        <f>1000000000/11000/PerfPowerST4[[#This Row],[Cons. MT]]</f>
        <v>54.452884641563891</v>
      </c>
      <c r="S97" s="16">
        <f>1000000000/12000/PerfPowerST4[[#This Row],[Cons. MT]]</f>
        <v>49.915144254766894</v>
      </c>
      <c r="T97" s="16">
        <f>1000000000/13000/PerfPowerST4[[#This Row],[Cons. MT]]</f>
        <v>46.075517773630978</v>
      </c>
      <c r="U97" s="16">
        <f>1000000000/14000/PerfPowerST4[[#This Row],[Cons. MT]]</f>
        <v>42.784409361228775</v>
      </c>
      <c r="V97" s="16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Chart]]="X",PerfPowerST4[[#This Row],[ExcludeHere]]="X",ISBLANK(GeneralTable[[#This Row],[Cons. CB23MT]])),NA(),GeneralTable[[#This Row],[Cons. CB23MT]]),NA())</f>
        <v>2431</v>
      </c>
      <c r="F100" s="12">
        <f>IFERROR(IF(OR(GeneralTable[[#This Row],[Exclude From Chart]]="X",PerfPowerST4[[#This Row],[ExcludeHere]]="X",ISBLANK(GeneralTable[[#This Row],[Cons. CB23MT]])),NA(),GeneralTable[[#This Row],[Dur. CB23MT]]),NA())</f>
        <v>71.5</v>
      </c>
      <c r="G100" s="16">
        <f>1000000000/500/PerfPowerST4[[#This Row],[Cons. MT]]</f>
        <v>822.7067050596462</v>
      </c>
      <c r="H100" s="16">
        <f>1000000000/1000/PerfPowerST4[[#This Row],[Cons. MT]]</f>
        <v>411.3533525298231</v>
      </c>
      <c r="I100" s="16">
        <f>1000000000/2000/PerfPowerST4[[#This Row],[Cons. MT]]</f>
        <v>205.67667626491155</v>
      </c>
      <c r="J100" s="16">
        <f>1000000000/3000/PerfPowerST4[[#This Row],[Cons. MT]]</f>
        <v>137.1177841766077</v>
      </c>
      <c r="K100" s="16">
        <f>1000000000/4000/PerfPowerST4[[#This Row],[Cons. MT]]</f>
        <v>102.83833813245577</v>
      </c>
      <c r="L100" s="16">
        <f>1000000000/5000/PerfPowerST4[[#This Row],[Cons. MT]]</f>
        <v>82.270670505964617</v>
      </c>
      <c r="M100" s="16">
        <f>1000000000/6000/PerfPowerST4[[#This Row],[Cons. MT]]</f>
        <v>68.55889208830385</v>
      </c>
      <c r="N100" s="16">
        <f>1000000000/7000/PerfPowerST4[[#This Row],[Cons. MT]]</f>
        <v>58.764764647117595</v>
      </c>
      <c r="O100" s="16">
        <f>1000000000/8000/PerfPowerST4[[#This Row],[Cons. MT]]</f>
        <v>51.419169066227887</v>
      </c>
      <c r="P100" s="16">
        <f>1000000000/9000/PerfPowerST4[[#This Row],[Cons. MT]]</f>
        <v>45.705928058869233</v>
      </c>
      <c r="Q100" s="16">
        <f>1000000000/10000/PerfPowerST4[[#This Row],[Cons. MT]]</f>
        <v>41.135335252982308</v>
      </c>
      <c r="R100" s="16">
        <f>1000000000/11000/PerfPowerST4[[#This Row],[Cons. MT]]</f>
        <v>37.395759320893013</v>
      </c>
      <c r="S100" s="16">
        <f>1000000000/12000/PerfPowerST4[[#This Row],[Cons. MT]]</f>
        <v>34.279446044151925</v>
      </c>
      <c r="T100" s="16">
        <f>1000000000/13000/PerfPowerST4[[#This Row],[Cons. MT]]</f>
        <v>31.642565579217163</v>
      </c>
      <c r="U100" s="16">
        <f>1000000000/14000/PerfPowerST4[[#This Row],[Cons. MT]]</f>
        <v>29.382382323558797</v>
      </c>
      <c r="V100" s="16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Chart]]="X",PerfPowerST4[[#This Row],[ExcludeHere]]="X",ISBLANK(GeneralTable[[#This Row],[Cons. CB23MT]])),NA(),GeneralTable[[#This Row],[Cons. CB23MT]]),NA())</f>
        <v>1557.9180000000001</v>
      </c>
      <c r="F116" s="12">
        <f>IFERROR(IF(OR(GeneralTable[[#This Row],[Exclude From Chart]]="X",PerfPowerST4[[#This Row],[ExcludeHere]]="X",ISBLANK(GeneralTable[[#This Row],[Cons. CB23MT]])),NA(),GeneralTable[[#This Row],[Dur. CB23MT]]),NA())</f>
        <v>130.22999999999999</v>
      </c>
      <c r="G116" s="16">
        <f>1000000000/500/PerfPowerST4[[#This Row],[Cons. MT]]</f>
        <v>1283.7646140554252</v>
      </c>
      <c r="H116" s="16">
        <f>1000000000/1000/PerfPowerST4[[#This Row],[Cons. MT]]</f>
        <v>641.88230702771261</v>
      </c>
      <c r="I116" s="16">
        <f>1000000000/2000/PerfPowerST4[[#This Row],[Cons. MT]]</f>
        <v>320.94115351385631</v>
      </c>
      <c r="J116" s="16">
        <f>1000000000/3000/PerfPowerST4[[#This Row],[Cons. MT]]</f>
        <v>213.96076900923751</v>
      </c>
      <c r="K116" s="16">
        <f>1000000000/4000/PerfPowerST4[[#This Row],[Cons. MT]]</f>
        <v>160.47057675692815</v>
      </c>
      <c r="L116" s="16">
        <f>1000000000/5000/PerfPowerST4[[#This Row],[Cons. MT]]</f>
        <v>128.37646140554253</v>
      </c>
      <c r="M116" s="16">
        <f>1000000000/6000/PerfPowerST4[[#This Row],[Cons. MT]]</f>
        <v>106.98038450461875</v>
      </c>
      <c r="N116" s="16">
        <f>1000000000/7000/PerfPowerST4[[#This Row],[Cons. MT]]</f>
        <v>91.697472432530375</v>
      </c>
      <c r="O116" s="16">
        <f>1000000000/8000/PerfPowerST4[[#This Row],[Cons. MT]]</f>
        <v>80.235288378464077</v>
      </c>
      <c r="P116" s="16">
        <f>1000000000/9000/PerfPowerST4[[#This Row],[Cons. MT]]</f>
        <v>71.320256336412513</v>
      </c>
      <c r="Q116" s="16">
        <f>1000000000/10000/PerfPowerST4[[#This Row],[Cons. MT]]</f>
        <v>64.188230702771264</v>
      </c>
      <c r="R116" s="16">
        <f>1000000000/11000/PerfPowerST4[[#This Row],[Cons. MT]]</f>
        <v>58.352937002519326</v>
      </c>
      <c r="S116" s="16">
        <f>1000000000/12000/PerfPowerST4[[#This Row],[Cons. MT]]</f>
        <v>53.490192252309377</v>
      </c>
      <c r="T116" s="16">
        <f>1000000000/13000/PerfPowerST4[[#This Row],[Cons. MT]]</f>
        <v>49.375562079054816</v>
      </c>
      <c r="U116" s="16">
        <f>1000000000/14000/PerfPowerST4[[#This Row],[Cons. MT]]</f>
        <v>45.848736216265188</v>
      </c>
      <c r="V116" s="16">
        <f>1000000000/15000/PerfPowerST4[[#This Row],[Cons. MT]]</f>
        <v>42.792153801847505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Chart]]="X",PerfPowerST4[[#This Row],[ExcludeHere]]="X",ISBLANK(GeneralTable[[#This Row],[Cons. CB23MT]])),NA(),GeneralTable[[#This Row],[Cons. CB23MT]]),NA())</f>
        <v>2361</v>
      </c>
      <c r="F124" s="12">
        <f>IFERROR(IF(OR(GeneralTable[[#This Row],[Exclude From Chart]]="X",PerfPowerST4[[#This Row],[ExcludeHere]]="X",ISBLANK(GeneralTable[[#This Row],[Cons. CB23MT]])),NA(),GeneralTable[[#This Row],[Dur. CB23MT]]),NA())</f>
        <v>39.67</v>
      </c>
      <c r="G124" s="16">
        <f>1000000000/500/PerfPowerST4[[#This Row],[Cons. MT]]</f>
        <v>847.0986869970352</v>
      </c>
      <c r="H124" s="16">
        <f>1000000000/1000/PerfPowerST4[[#This Row],[Cons. MT]]</f>
        <v>423.5493434985176</v>
      </c>
      <c r="I124" s="16">
        <f>1000000000/2000/PerfPowerST4[[#This Row],[Cons. MT]]</f>
        <v>211.7746717492588</v>
      </c>
      <c r="J124" s="16">
        <f>1000000000/3000/PerfPowerST4[[#This Row],[Cons. MT]]</f>
        <v>141.18311449950585</v>
      </c>
      <c r="K124" s="16">
        <f>1000000000/4000/PerfPowerST4[[#This Row],[Cons. MT]]</f>
        <v>105.8873358746294</v>
      </c>
      <c r="L124" s="16">
        <f>1000000000/5000/PerfPowerST4[[#This Row],[Cons. MT]]</f>
        <v>84.70986869970352</v>
      </c>
      <c r="M124" s="16">
        <f>1000000000/6000/PerfPowerST4[[#This Row],[Cons. MT]]</f>
        <v>70.591557249752924</v>
      </c>
      <c r="N124" s="16">
        <f>1000000000/7000/PerfPowerST4[[#This Row],[Cons. MT]]</f>
        <v>60.507049071216805</v>
      </c>
      <c r="O124" s="16">
        <f>1000000000/8000/PerfPowerST4[[#This Row],[Cons. MT]]</f>
        <v>52.9436679373147</v>
      </c>
      <c r="P124" s="16">
        <f>1000000000/9000/PerfPowerST4[[#This Row],[Cons. MT]]</f>
        <v>47.061038166501952</v>
      </c>
      <c r="Q124" s="16">
        <f>1000000000/10000/PerfPowerST4[[#This Row],[Cons. MT]]</f>
        <v>42.35493434985176</v>
      </c>
      <c r="R124" s="16">
        <f>1000000000/11000/PerfPowerST4[[#This Row],[Cons. MT]]</f>
        <v>38.50448577259251</v>
      </c>
      <c r="S124" s="16">
        <f>1000000000/12000/PerfPowerST4[[#This Row],[Cons. MT]]</f>
        <v>35.295778624876462</v>
      </c>
      <c r="T124" s="16">
        <f>1000000000/13000/PerfPowerST4[[#This Row],[Cons. MT]]</f>
        <v>32.5807187306552</v>
      </c>
      <c r="U124" s="16">
        <f>1000000000/14000/PerfPowerST4[[#This Row],[Cons. MT]]</f>
        <v>30.253524535608403</v>
      </c>
      <c r="V124" s="16">
        <f>1000000000/15000/PerfPowerST4[[#This Row],[Cons. MT]]</f>
        <v>28.236622899901175</v>
      </c>
    </row>
    <row r="125" spans="2:22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Chart]]="X",PerfPowerST4[[#This Row],[ExcludeHere]]="X",ISBLANK(GeneralTable[[#This Row],[Cons. CB23MT]])),NA(),GeneralTable[[#This Row],[Cons. CB23MT]]),NA())</f>
        <v>2204.2800000000002</v>
      </c>
      <c r="F125" s="12">
        <f>IFERROR(IF(OR(GeneralTable[[#This Row],[Exclude From Chart]]="X",PerfPowerST4[[#This Row],[ExcludeHere]]="X",ISBLANK(GeneralTable[[#This Row],[Cons. CB23MT]])),NA(),GeneralTable[[#This Row],[Dur. CB23MT]]),NA())</f>
        <v>88.08</v>
      </c>
      <c r="G125" s="16">
        <f>1000000000/500/PerfPowerST4[[#This Row],[Cons. MT]]</f>
        <v>907.32574809007917</v>
      </c>
      <c r="H125" s="16">
        <f>1000000000/1000/PerfPowerST4[[#This Row],[Cons. MT]]</f>
        <v>453.66287404503959</v>
      </c>
      <c r="I125" s="16">
        <f>1000000000/2000/PerfPowerST4[[#This Row],[Cons. MT]]</f>
        <v>226.83143702251979</v>
      </c>
      <c r="J125" s="16">
        <f>1000000000/3000/PerfPowerST4[[#This Row],[Cons. MT]]</f>
        <v>151.2209580150132</v>
      </c>
      <c r="K125" s="16">
        <f>1000000000/4000/PerfPowerST4[[#This Row],[Cons. MT]]</f>
        <v>113.4157185112599</v>
      </c>
      <c r="L125" s="16">
        <f>1000000000/5000/PerfPowerST4[[#This Row],[Cons. MT]]</f>
        <v>90.732574809007929</v>
      </c>
      <c r="M125" s="16">
        <f>1000000000/6000/PerfPowerST4[[#This Row],[Cons. MT]]</f>
        <v>75.610479007506598</v>
      </c>
      <c r="N125" s="16">
        <f>1000000000/7000/PerfPowerST4[[#This Row],[Cons. MT]]</f>
        <v>64.808982006434235</v>
      </c>
      <c r="O125" s="16">
        <f>1000000000/8000/PerfPowerST4[[#This Row],[Cons. MT]]</f>
        <v>56.707859255629948</v>
      </c>
      <c r="P125" s="16">
        <f>1000000000/9000/PerfPowerST4[[#This Row],[Cons. MT]]</f>
        <v>50.406986005004399</v>
      </c>
      <c r="Q125" s="16">
        <f>1000000000/10000/PerfPowerST4[[#This Row],[Cons. MT]]</f>
        <v>45.366287404503964</v>
      </c>
      <c r="R125" s="16">
        <f>1000000000/11000/PerfPowerST4[[#This Row],[Cons. MT]]</f>
        <v>41.242079458639964</v>
      </c>
      <c r="S125" s="16">
        <f>1000000000/12000/PerfPowerST4[[#This Row],[Cons. MT]]</f>
        <v>37.805239503753299</v>
      </c>
      <c r="T125" s="16">
        <f>1000000000/13000/PerfPowerST4[[#This Row],[Cons. MT]]</f>
        <v>34.897144157310741</v>
      </c>
      <c r="U125" s="16">
        <f>1000000000/14000/PerfPowerST4[[#This Row],[Cons. MT]]</f>
        <v>32.404491003217117</v>
      </c>
      <c r="V125" s="16">
        <f>1000000000/15000/PerfPowerST4[[#This Row],[Cons. MT]]</f>
        <v>30.244191603002644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Chart]]="X",PerfPowerST4[[#This Row],[ExcludeHere]]="X",ISBLANK(GeneralTable[[#This Row],[Cons. CB23MT]])),NA(),GeneralTable[[#This Row],[Cons. CB23MT]]),NA())</f>
        <v>2708.4</v>
      </c>
      <c r="F130" s="12">
        <f>IFERROR(IF(OR(GeneralTable[[#This Row],[Exclude From Chart]]="X",PerfPowerST4[[#This Row],[ExcludeHere]]="X",ISBLANK(GeneralTable[[#This Row],[Cons. CB23MT]])),NA(),GeneralTable[[#This Row],[Dur. CB23MT]]),NA())</f>
        <v>132.94399999999999</v>
      </c>
      <c r="G130" s="16">
        <f>1000000000/500/PerfPowerST4[[#This Row],[Cons. MT]]</f>
        <v>738.44336139418101</v>
      </c>
      <c r="H130" s="16">
        <f>1000000000/1000/PerfPowerST4[[#This Row],[Cons. MT]]</f>
        <v>369.22168069709051</v>
      </c>
      <c r="I130" s="16">
        <f>1000000000/2000/PerfPowerST4[[#This Row],[Cons. MT]]</f>
        <v>184.61084034854525</v>
      </c>
      <c r="J130" s="16">
        <f>1000000000/3000/PerfPowerST4[[#This Row],[Cons. MT]]</f>
        <v>123.07389356569684</v>
      </c>
      <c r="K130" s="16">
        <f>1000000000/4000/PerfPowerST4[[#This Row],[Cons. MT]]</f>
        <v>92.305420174272626</v>
      </c>
      <c r="L130" s="16">
        <f>1000000000/5000/PerfPowerST4[[#This Row],[Cons. MT]]</f>
        <v>73.844336139418104</v>
      </c>
      <c r="M130" s="16">
        <f>1000000000/6000/PerfPowerST4[[#This Row],[Cons. MT]]</f>
        <v>61.536946782848418</v>
      </c>
      <c r="N130" s="16">
        <f>1000000000/7000/PerfPowerST4[[#This Row],[Cons. MT]]</f>
        <v>52.745954385298653</v>
      </c>
      <c r="O130" s="16">
        <f>1000000000/8000/PerfPowerST4[[#This Row],[Cons. MT]]</f>
        <v>46.152710087136313</v>
      </c>
      <c r="P130" s="16">
        <f>1000000000/9000/PerfPowerST4[[#This Row],[Cons. MT]]</f>
        <v>41.024631188565614</v>
      </c>
      <c r="Q130" s="16">
        <f>1000000000/10000/PerfPowerST4[[#This Row],[Cons. MT]]</f>
        <v>36.922168069709052</v>
      </c>
      <c r="R130" s="16">
        <f>1000000000/11000/PerfPowerST4[[#This Row],[Cons. MT]]</f>
        <v>33.565607336099141</v>
      </c>
      <c r="S130" s="16">
        <f>1000000000/12000/PerfPowerST4[[#This Row],[Cons. MT]]</f>
        <v>30.768473391424209</v>
      </c>
      <c r="T130" s="16">
        <f>1000000000/13000/PerfPowerST4[[#This Row],[Cons. MT]]</f>
        <v>28.401667745930041</v>
      </c>
      <c r="U130" s="16">
        <f>1000000000/14000/PerfPowerST4[[#This Row],[Cons. MT]]</f>
        <v>26.372977192649326</v>
      </c>
      <c r="V130" s="16">
        <f>1000000000/15000/PerfPowerST4[[#This Row],[Cons. MT]]</f>
        <v>24.614778713139369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Chart]]="X",PerfPowerST4[[#This Row],[ExcludeHere]]="X",ISBLANK(GeneralTable[[#This Row],[Cons. CB23MT]])),NA(),GeneralTable[[#This Row],[Cons. CB23MT]]),NA())</f>
        <v>4866</v>
      </c>
      <c r="F138" s="12">
        <f>IFERROR(IF(OR(GeneralTable[[#This Row],[Exclude From Chart]]="X",PerfPowerST4[[#This Row],[ExcludeHere]]="X",ISBLANK(GeneralTable[[#This Row],[Cons. CB23MT]])),NA(),GeneralTable[[#This Row],[Dur. CB23MT]]),NA())</f>
        <v>76.209999999999994</v>
      </c>
      <c r="G138" s="16">
        <f>1000000000/500/PerfPowerST4[[#This Row],[Cons. MT]]</f>
        <v>411.01520756267979</v>
      </c>
      <c r="H138" s="16">
        <f>1000000000/1000/PerfPowerST4[[#This Row],[Cons. MT]]</f>
        <v>205.5076037813399</v>
      </c>
      <c r="I138" s="16">
        <f>1000000000/2000/PerfPowerST4[[#This Row],[Cons. MT]]</f>
        <v>102.75380189066995</v>
      </c>
      <c r="J138" s="16">
        <f>1000000000/3000/PerfPowerST4[[#This Row],[Cons. MT]]</f>
        <v>68.50253459377997</v>
      </c>
      <c r="K138" s="16">
        <f>1000000000/4000/PerfPowerST4[[#This Row],[Cons. MT]]</f>
        <v>51.376900945334974</v>
      </c>
      <c r="L138" s="16">
        <f>1000000000/5000/PerfPowerST4[[#This Row],[Cons. MT]]</f>
        <v>41.101520756267981</v>
      </c>
      <c r="M138" s="16">
        <f>1000000000/6000/PerfPowerST4[[#This Row],[Cons. MT]]</f>
        <v>34.251267296889985</v>
      </c>
      <c r="N138" s="16">
        <f>1000000000/7000/PerfPowerST4[[#This Row],[Cons. MT]]</f>
        <v>29.358229111619991</v>
      </c>
      <c r="O138" s="16">
        <f>1000000000/8000/PerfPowerST4[[#This Row],[Cons. MT]]</f>
        <v>25.688450472667487</v>
      </c>
      <c r="P138" s="16">
        <f>1000000000/9000/PerfPowerST4[[#This Row],[Cons. MT]]</f>
        <v>22.834178197926658</v>
      </c>
      <c r="Q138" s="16">
        <f>1000000000/10000/PerfPowerST4[[#This Row],[Cons. MT]]</f>
        <v>20.55076037813399</v>
      </c>
      <c r="R138" s="16">
        <f>1000000000/11000/PerfPowerST4[[#This Row],[Cons. MT]]</f>
        <v>18.682509434667264</v>
      </c>
      <c r="S138" s="16">
        <f>1000000000/12000/PerfPowerST4[[#This Row],[Cons. MT]]</f>
        <v>17.125633648444992</v>
      </c>
      <c r="T138" s="16">
        <f>1000000000/13000/PerfPowerST4[[#This Row],[Cons. MT]]</f>
        <v>15.808277213949223</v>
      </c>
      <c r="U138" s="16">
        <f>1000000000/14000/PerfPowerST4[[#This Row],[Cons. MT]]</f>
        <v>14.679114555809996</v>
      </c>
      <c r="V138" s="16">
        <f>1000000000/15000/PerfPowerST4[[#This Row],[Cons. MT]]</f>
        <v>13.700506918755995</v>
      </c>
    </row>
    <row r="139" spans="2:22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0" s="16" t="e">
        <f>1000000000/500/PerfPowerST4[[#This Row],[Cons. MT]]</f>
        <v>#N/A</v>
      </c>
      <c r="H140" s="16" t="e">
        <f>1000000000/1000/PerfPowerST4[[#This Row],[Cons. MT]]</f>
        <v>#N/A</v>
      </c>
      <c r="I140" s="16" t="e">
        <f>1000000000/2000/PerfPowerST4[[#This Row],[Cons. MT]]</f>
        <v>#N/A</v>
      </c>
      <c r="J140" s="16" t="e">
        <f>1000000000/3000/PerfPowerST4[[#This Row],[Cons. MT]]</f>
        <v>#N/A</v>
      </c>
      <c r="K140" s="16" t="e">
        <f>1000000000/4000/PerfPowerST4[[#This Row],[Cons. MT]]</f>
        <v>#N/A</v>
      </c>
      <c r="L140" s="16" t="e">
        <f>1000000000/5000/PerfPowerST4[[#This Row],[Cons. MT]]</f>
        <v>#N/A</v>
      </c>
      <c r="M140" s="16" t="e">
        <f>1000000000/6000/PerfPowerST4[[#This Row],[Cons. MT]]</f>
        <v>#N/A</v>
      </c>
      <c r="N140" s="16" t="e">
        <f>1000000000/7000/PerfPowerST4[[#This Row],[Cons. MT]]</f>
        <v>#N/A</v>
      </c>
      <c r="O140" s="16" t="e">
        <f>1000000000/8000/PerfPowerST4[[#This Row],[Cons. MT]]</f>
        <v>#N/A</v>
      </c>
      <c r="P140" s="16" t="e">
        <f>1000000000/9000/PerfPowerST4[[#This Row],[Cons. MT]]</f>
        <v>#N/A</v>
      </c>
      <c r="Q140" s="16" t="e">
        <f>1000000000/10000/PerfPowerST4[[#This Row],[Cons. MT]]</f>
        <v>#N/A</v>
      </c>
      <c r="R140" s="16" t="e">
        <f>1000000000/11000/PerfPowerST4[[#This Row],[Cons. MT]]</f>
        <v>#N/A</v>
      </c>
      <c r="S140" s="16" t="e">
        <f>1000000000/12000/PerfPowerST4[[#This Row],[Cons. MT]]</f>
        <v>#N/A</v>
      </c>
      <c r="T140" s="16" t="e">
        <f>1000000000/13000/PerfPowerST4[[#This Row],[Cons. MT]]</f>
        <v>#N/A</v>
      </c>
      <c r="U140" s="16" t="e">
        <f>1000000000/14000/PerfPowerST4[[#This Row],[Cons. MT]]</f>
        <v>#N/A</v>
      </c>
      <c r="V140" s="16" t="e">
        <f>1000000000/15000/PerfPowerST4[[#This Row],[Cons. MT]]</f>
        <v>#N/A</v>
      </c>
    </row>
    <row r="141" spans="2:22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2" s="16" t="e">
        <f>1000000000/500/PerfPowerST4[[#This Row],[Cons. MT]]</f>
        <v>#N/A</v>
      </c>
      <c r="H142" s="16" t="e">
        <f>1000000000/1000/PerfPowerST4[[#This Row],[Cons. MT]]</f>
        <v>#N/A</v>
      </c>
      <c r="I142" s="16" t="e">
        <f>1000000000/2000/PerfPowerST4[[#This Row],[Cons. MT]]</f>
        <v>#N/A</v>
      </c>
      <c r="J142" s="16" t="e">
        <f>1000000000/3000/PerfPowerST4[[#This Row],[Cons. MT]]</f>
        <v>#N/A</v>
      </c>
      <c r="K142" s="16" t="e">
        <f>1000000000/4000/PerfPowerST4[[#This Row],[Cons. MT]]</f>
        <v>#N/A</v>
      </c>
      <c r="L142" s="16" t="e">
        <f>1000000000/5000/PerfPowerST4[[#This Row],[Cons. MT]]</f>
        <v>#N/A</v>
      </c>
      <c r="M142" s="16" t="e">
        <f>1000000000/6000/PerfPowerST4[[#This Row],[Cons. MT]]</f>
        <v>#N/A</v>
      </c>
      <c r="N142" s="16" t="e">
        <f>1000000000/7000/PerfPowerST4[[#This Row],[Cons. MT]]</f>
        <v>#N/A</v>
      </c>
      <c r="O142" s="16" t="e">
        <f>1000000000/8000/PerfPowerST4[[#This Row],[Cons. MT]]</f>
        <v>#N/A</v>
      </c>
      <c r="P142" s="16" t="e">
        <f>1000000000/9000/PerfPowerST4[[#This Row],[Cons. MT]]</f>
        <v>#N/A</v>
      </c>
      <c r="Q142" s="16" t="e">
        <f>1000000000/10000/PerfPowerST4[[#This Row],[Cons. MT]]</f>
        <v>#N/A</v>
      </c>
      <c r="R142" s="16" t="e">
        <f>1000000000/11000/PerfPowerST4[[#This Row],[Cons. MT]]</f>
        <v>#N/A</v>
      </c>
      <c r="S142" s="16" t="e">
        <f>1000000000/12000/PerfPowerST4[[#This Row],[Cons. MT]]</f>
        <v>#N/A</v>
      </c>
      <c r="T142" s="16" t="e">
        <f>1000000000/13000/PerfPowerST4[[#This Row],[Cons. MT]]</f>
        <v>#N/A</v>
      </c>
      <c r="U142" s="16" t="e">
        <f>1000000000/14000/PerfPowerST4[[#This Row],[Cons. MT]]</f>
        <v>#N/A</v>
      </c>
      <c r="V142" s="16" t="e">
        <f>1000000000/15000/PerfPowerST4[[#This Row],[Cons. MT]]</f>
        <v>#N/A</v>
      </c>
    </row>
    <row r="143" spans="2:22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4" s="16" t="e">
        <f>1000000000/500/PerfPowerST4[[#This Row],[Cons. MT]]</f>
        <v>#N/A</v>
      </c>
      <c r="H144" s="16" t="e">
        <f>1000000000/1000/PerfPowerST4[[#This Row],[Cons. MT]]</f>
        <v>#N/A</v>
      </c>
      <c r="I144" s="16" t="e">
        <f>1000000000/2000/PerfPowerST4[[#This Row],[Cons. MT]]</f>
        <v>#N/A</v>
      </c>
      <c r="J144" s="16" t="e">
        <f>1000000000/3000/PerfPowerST4[[#This Row],[Cons. MT]]</f>
        <v>#N/A</v>
      </c>
      <c r="K144" s="16" t="e">
        <f>1000000000/4000/PerfPowerST4[[#This Row],[Cons. MT]]</f>
        <v>#N/A</v>
      </c>
      <c r="L144" s="16" t="e">
        <f>1000000000/5000/PerfPowerST4[[#This Row],[Cons. MT]]</f>
        <v>#N/A</v>
      </c>
      <c r="M144" s="16" t="e">
        <f>1000000000/6000/PerfPowerST4[[#This Row],[Cons. MT]]</f>
        <v>#N/A</v>
      </c>
      <c r="N144" s="16" t="e">
        <f>1000000000/7000/PerfPowerST4[[#This Row],[Cons. MT]]</f>
        <v>#N/A</v>
      </c>
      <c r="O144" s="16" t="e">
        <f>1000000000/8000/PerfPowerST4[[#This Row],[Cons. MT]]</f>
        <v>#N/A</v>
      </c>
      <c r="P144" s="16" t="e">
        <f>1000000000/9000/PerfPowerST4[[#This Row],[Cons. MT]]</f>
        <v>#N/A</v>
      </c>
      <c r="Q144" s="16" t="e">
        <f>1000000000/10000/PerfPowerST4[[#This Row],[Cons. MT]]</f>
        <v>#N/A</v>
      </c>
      <c r="R144" s="16" t="e">
        <f>1000000000/11000/PerfPowerST4[[#This Row],[Cons. MT]]</f>
        <v>#N/A</v>
      </c>
      <c r="S144" s="16" t="e">
        <f>1000000000/12000/PerfPowerST4[[#This Row],[Cons. MT]]</f>
        <v>#N/A</v>
      </c>
      <c r="T144" s="16" t="e">
        <f>1000000000/13000/PerfPowerST4[[#This Row],[Cons. MT]]</f>
        <v>#N/A</v>
      </c>
      <c r="U144" s="16" t="e">
        <f>1000000000/14000/PerfPowerST4[[#This Row],[Cons. MT]]</f>
        <v>#N/A</v>
      </c>
      <c r="V144" s="16" t="e">
        <f>1000000000/15000/PerfPowerST4[[#This Row],[Cons. MT]]</f>
        <v>#N/A</v>
      </c>
    </row>
    <row r="145" spans="2:22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5" s="16" t="e">
        <f>1000000000/500/PerfPowerST4[[#This Row],[Cons. MT]]</f>
        <v>#N/A</v>
      </c>
      <c r="H145" s="16" t="e">
        <f>1000000000/1000/PerfPowerST4[[#This Row],[Cons. MT]]</f>
        <v>#N/A</v>
      </c>
      <c r="I145" s="16" t="e">
        <f>1000000000/2000/PerfPowerST4[[#This Row],[Cons. MT]]</f>
        <v>#N/A</v>
      </c>
      <c r="J145" s="16" t="e">
        <f>1000000000/3000/PerfPowerST4[[#This Row],[Cons. MT]]</f>
        <v>#N/A</v>
      </c>
      <c r="K145" s="16" t="e">
        <f>1000000000/4000/PerfPowerST4[[#This Row],[Cons. MT]]</f>
        <v>#N/A</v>
      </c>
      <c r="L145" s="16" t="e">
        <f>1000000000/5000/PerfPowerST4[[#This Row],[Cons. MT]]</f>
        <v>#N/A</v>
      </c>
      <c r="M145" s="16" t="e">
        <f>1000000000/6000/PerfPowerST4[[#This Row],[Cons. MT]]</f>
        <v>#N/A</v>
      </c>
      <c r="N145" s="16" t="e">
        <f>1000000000/7000/PerfPowerST4[[#This Row],[Cons. MT]]</f>
        <v>#N/A</v>
      </c>
      <c r="O145" s="16" t="e">
        <f>1000000000/8000/PerfPowerST4[[#This Row],[Cons. MT]]</f>
        <v>#N/A</v>
      </c>
      <c r="P145" s="16" t="e">
        <f>1000000000/9000/PerfPowerST4[[#This Row],[Cons. MT]]</f>
        <v>#N/A</v>
      </c>
      <c r="Q145" s="16" t="e">
        <f>1000000000/10000/PerfPowerST4[[#This Row],[Cons. MT]]</f>
        <v>#N/A</v>
      </c>
      <c r="R145" s="16" t="e">
        <f>1000000000/11000/PerfPowerST4[[#This Row],[Cons. MT]]</f>
        <v>#N/A</v>
      </c>
      <c r="S145" s="16" t="e">
        <f>1000000000/12000/PerfPowerST4[[#This Row],[Cons. MT]]</f>
        <v>#N/A</v>
      </c>
      <c r="T145" s="16" t="e">
        <f>1000000000/13000/PerfPowerST4[[#This Row],[Cons. MT]]</f>
        <v>#N/A</v>
      </c>
      <c r="U145" s="16" t="e">
        <f>1000000000/14000/PerfPowerST4[[#This Row],[Cons. MT]]</f>
        <v>#N/A</v>
      </c>
      <c r="V145" s="16" t="e">
        <f>1000000000/15000/PerfPowerST4[[#This Row],[Cons. MT]]</f>
        <v>#N/A</v>
      </c>
    </row>
    <row r="146" spans="2:22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1" s="16" t="e">
        <f>1000000000/500/PerfPowerST4[[#This Row],[Cons. MT]]</f>
        <v>#N/A</v>
      </c>
      <c r="H151" s="16" t="e">
        <f>1000000000/1000/PerfPowerST4[[#This Row],[Cons. MT]]</f>
        <v>#N/A</v>
      </c>
      <c r="I151" s="16" t="e">
        <f>1000000000/2000/PerfPowerST4[[#This Row],[Cons. MT]]</f>
        <v>#N/A</v>
      </c>
      <c r="J151" s="16" t="e">
        <f>1000000000/3000/PerfPowerST4[[#This Row],[Cons. MT]]</f>
        <v>#N/A</v>
      </c>
      <c r="K151" s="16" t="e">
        <f>1000000000/4000/PerfPowerST4[[#This Row],[Cons. MT]]</f>
        <v>#N/A</v>
      </c>
      <c r="L151" s="16" t="e">
        <f>1000000000/5000/PerfPowerST4[[#This Row],[Cons. MT]]</f>
        <v>#N/A</v>
      </c>
      <c r="M151" s="16" t="e">
        <f>1000000000/6000/PerfPowerST4[[#This Row],[Cons. MT]]</f>
        <v>#N/A</v>
      </c>
      <c r="N151" s="16" t="e">
        <f>1000000000/7000/PerfPowerST4[[#This Row],[Cons. MT]]</f>
        <v>#N/A</v>
      </c>
      <c r="O151" s="16" t="e">
        <f>1000000000/8000/PerfPowerST4[[#This Row],[Cons. MT]]</f>
        <v>#N/A</v>
      </c>
      <c r="P151" s="16" t="e">
        <f>1000000000/9000/PerfPowerST4[[#This Row],[Cons. MT]]</f>
        <v>#N/A</v>
      </c>
      <c r="Q151" s="16" t="e">
        <f>1000000000/10000/PerfPowerST4[[#This Row],[Cons. MT]]</f>
        <v>#N/A</v>
      </c>
      <c r="R151" s="16" t="e">
        <f>1000000000/11000/PerfPowerST4[[#This Row],[Cons. MT]]</f>
        <v>#N/A</v>
      </c>
      <c r="S151" s="16" t="e">
        <f>1000000000/12000/PerfPowerST4[[#This Row],[Cons. MT]]</f>
        <v>#N/A</v>
      </c>
      <c r="T151" s="16" t="e">
        <f>1000000000/13000/PerfPowerST4[[#This Row],[Cons. MT]]</f>
        <v>#N/A</v>
      </c>
      <c r="U151" s="16" t="e">
        <f>1000000000/14000/PerfPowerST4[[#This Row],[Cons. MT]]</f>
        <v>#N/A</v>
      </c>
      <c r="V151" s="16" t="e">
        <f>1000000000/15000/PerfPowerST4[[#This Row],[Cons. MT]]</f>
        <v>#N/A</v>
      </c>
    </row>
    <row r="152" spans="2:22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2" s="16" t="e">
        <f>1000000000/500/PerfPowerST4[[#This Row],[Cons. MT]]</f>
        <v>#N/A</v>
      </c>
      <c r="H152" s="16" t="e">
        <f>1000000000/1000/PerfPowerST4[[#This Row],[Cons. MT]]</f>
        <v>#N/A</v>
      </c>
      <c r="I152" s="16" t="e">
        <f>1000000000/2000/PerfPowerST4[[#This Row],[Cons. MT]]</f>
        <v>#N/A</v>
      </c>
      <c r="J152" s="16" t="e">
        <f>1000000000/3000/PerfPowerST4[[#This Row],[Cons. MT]]</f>
        <v>#N/A</v>
      </c>
      <c r="K152" s="16" t="e">
        <f>1000000000/4000/PerfPowerST4[[#This Row],[Cons. MT]]</f>
        <v>#N/A</v>
      </c>
      <c r="L152" s="16" t="e">
        <f>1000000000/5000/PerfPowerST4[[#This Row],[Cons. MT]]</f>
        <v>#N/A</v>
      </c>
      <c r="M152" s="16" t="e">
        <f>1000000000/6000/PerfPowerST4[[#This Row],[Cons. MT]]</f>
        <v>#N/A</v>
      </c>
      <c r="N152" s="16" t="e">
        <f>1000000000/7000/PerfPowerST4[[#This Row],[Cons. MT]]</f>
        <v>#N/A</v>
      </c>
      <c r="O152" s="16" t="e">
        <f>1000000000/8000/PerfPowerST4[[#This Row],[Cons. MT]]</f>
        <v>#N/A</v>
      </c>
      <c r="P152" s="16" t="e">
        <f>1000000000/9000/PerfPowerST4[[#This Row],[Cons. MT]]</f>
        <v>#N/A</v>
      </c>
      <c r="Q152" s="16" t="e">
        <f>1000000000/10000/PerfPowerST4[[#This Row],[Cons. MT]]</f>
        <v>#N/A</v>
      </c>
      <c r="R152" s="16" t="e">
        <f>1000000000/11000/PerfPowerST4[[#This Row],[Cons. MT]]</f>
        <v>#N/A</v>
      </c>
      <c r="S152" s="16" t="e">
        <f>1000000000/12000/PerfPowerST4[[#This Row],[Cons. MT]]</f>
        <v>#N/A</v>
      </c>
      <c r="T152" s="16" t="e">
        <f>1000000000/13000/PerfPowerST4[[#This Row],[Cons. MT]]</f>
        <v>#N/A</v>
      </c>
      <c r="U152" s="16" t="e">
        <f>1000000000/14000/PerfPowerST4[[#This Row],[Cons. MT]]</f>
        <v>#N/A</v>
      </c>
      <c r="V152" s="16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dimension ref="B1:C6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25.21875" bestFit="1" customWidth="1"/>
    <col min="3" max="3" width="19.5546875" bestFit="1" customWidth="1"/>
    <col min="4" max="4" width="18.55468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330</v>
      </c>
      <c r="C2" t="s">
        <v>336</v>
      </c>
    </row>
    <row r="4" spans="2:3" ht="27" customHeight="1" x14ac:dyDescent="0.3">
      <c r="B4" s="1" t="s">
        <v>6</v>
      </c>
      <c r="C4" t="s">
        <v>337</v>
      </c>
    </row>
    <row r="5" spans="2:3" ht="27" customHeight="1" x14ac:dyDescent="0.3">
      <c r="B5" s="2" t="s">
        <v>335</v>
      </c>
      <c r="C5">
        <v>4591.3</v>
      </c>
    </row>
    <row r="6" spans="2:3" ht="27" customHeight="1" x14ac:dyDescent="0.3">
      <c r="B6" s="2" t="s">
        <v>7</v>
      </c>
      <c r="C6">
        <v>4591.3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dimension ref="B1:C6"/>
  <sheetViews>
    <sheetView workbookViewId="0">
      <selection activeCell="D8" sqref="D8"/>
    </sheetView>
  </sheetViews>
  <sheetFormatPr baseColWidth="10" defaultRowHeight="27" customHeight="1" x14ac:dyDescent="0.3"/>
  <cols>
    <col min="1" max="1" width="3.33203125" customWidth="1"/>
    <col min="2" max="2" width="25.21875" bestFit="1" customWidth="1"/>
    <col min="3" max="4" width="20.1093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331</v>
      </c>
      <c r="C2" t="s">
        <v>336</v>
      </c>
    </row>
    <row r="4" spans="2:3" ht="27" customHeight="1" x14ac:dyDescent="0.3">
      <c r="B4" s="1" t="s">
        <v>6</v>
      </c>
      <c r="C4" t="s">
        <v>338</v>
      </c>
    </row>
    <row r="5" spans="2:3" ht="27" customHeight="1" x14ac:dyDescent="0.3">
      <c r="B5" s="2" t="s">
        <v>335</v>
      </c>
      <c r="C5">
        <v>1209</v>
      </c>
    </row>
    <row r="6" spans="2:3" ht="27" customHeight="1" x14ac:dyDescent="0.3">
      <c r="B6" s="2" t="s">
        <v>7</v>
      </c>
      <c r="C6">
        <v>1209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dimension ref="B5:Q200"/>
  <sheetViews>
    <sheetView topLeftCell="C1" zoomScale="86" zoomScaleNormal="100" workbookViewId="0">
      <selection activeCell="T32" sqref="T3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339</v>
      </c>
      <c r="F5" s="9" t="s">
        <v>340</v>
      </c>
      <c r="G5" s="9" t="s">
        <v>194</v>
      </c>
      <c r="H5" s="9" t="s">
        <v>342</v>
      </c>
      <c r="I5" s="9" t="s">
        <v>343</v>
      </c>
      <c r="J5" s="9" t="s">
        <v>344</v>
      </c>
      <c r="K5" s="9" t="s">
        <v>345</v>
      </c>
      <c r="L5" s="9" t="s">
        <v>346</v>
      </c>
      <c r="M5" s="9" t="s">
        <v>347</v>
      </c>
      <c r="N5" s="9" t="s">
        <v>348</v>
      </c>
      <c r="O5" s="9" t="s">
        <v>349</v>
      </c>
      <c r="P5" s="9" t="s">
        <v>350</v>
      </c>
      <c r="Q5" s="9" t="s">
        <v>341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2133</v>
      </c>
      <c r="F131" s="12">
        <f>IFERROR(IF(OR(GeneralTable[[#This Row],[Exclude From Chart]]="X",PerfPowerST5[[#This Row],[ExcludeHere]]="X",ISBLANK(GeneralTable[[#This Row],[Dur. GB5]])),NA(),GeneralTable[[#This Row],[Dur. GB5]]),NA())</f>
        <v>139.15</v>
      </c>
      <c r="G131" s="16">
        <f>1000000000/1000/PerfPowerST5[[#This Row],[Cons.]]</f>
        <v>468.8232536333802</v>
      </c>
      <c r="H131" s="16">
        <f>1000000000/2000/PerfPowerST5[[#This Row],[Cons.]]</f>
        <v>234.4116268166901</v>
      </c>
      <c r="I131" s="16">
        <f>1000000000/3000/PerfPowerST5[[#This Row],[Cons.]]</f>
        <v>156.27441787779338</v>
      </c>
      <c r="J131" s="16">
        <f>1000000000/4000/PerfPowerST5[[#This Row],[Cons.]]</f>
        <v>117.20581340834505</v>
      </c>
      <c r="K131" s="16">
        <f>1000000000/5000/PerfPowerST5[[#This Row],[Cons.]]</f>
        <v>93.764650726676038</v>
      </c>
      <c r="L131" s="16">
        <f>1000000000/6000/PerfPowerST5[[#This Row],[Cons.]]</f>
        <v>78.137208938896691</v>
      </c>
      <c r="M131" s="16">
        <f>1000000000/7000/PerfPowerST5[[#This Row],[Cons.]]</f>
        <v>66.974750519054325</v>
      </c>
      <c r="N131" s="16">
        <f>1000000000/8000/PerfPowerST5[[#This Row],[Cons.]]</f>
        <v>58.602906704172526</v>
      </c>
      <c r="O131" s="16">
        <f>1000000000/9000/PerfPowerST5[[#This Row],[Cons.]]</f>
        <v>52.091472625931132</v>
      </c>
      <c r="P131" s="16">
        <f>1000000000/10000/PerfPowerST5[[#This Row],[Cons.]]</f>
        <v>46.882325363338019</v>
      </c>
      <c r="Q131" s="16">
        <f>1000000000/1000/PerfPowerST5[[#This Row],[Cons.]]</f>
        <v>468.8232536333802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>
        <f>IFERROR(IF(OR(GeneralTable[[#This Row],[Exclude From Chart]]="X",PerfPowerST5[[#This Row],[ExcludeHere]]="X",ISBLANK(GeneralTable[[#This Row],[Cons. GB5]])),NA(),GeneralTable[[#This Row],[Cons. GB5]]),NA())</f>
        <v>8510</v>
      </c>
      <c r="F133" s="12">
        <f>IFERROR(IF(OR(GeneralTable[[#This Row],[Exclude From Chart]]="X",PerfPowerST5[[#This Row],[ExcludeHere]]="X",ISBLANK(GeneralTable[[#This Row],[Dur. GB5]])),NA(),GeneralTable[[#This Row],[Dur. GB5]]),NA())</f>
        <v>170.95</v>
      </c>
      <c r="G133" s="16">
        <f>1000000000/1000/PerfPowerST5[[#This Row],[Cons.]]</f>
        <v>117.50881316098707</v>
      </c>
      <c r="H133" s="16">
        <f>1000000000/2000/PerfPowerST5[[#This Row],[Cons.]]</f>
        <v>58.754406580493537</v>
      </c>
      <c r="I133" s="16">
        <f>1000000000/3000/PerfPowerST5[[#This Row],[Cons.]]</f>
        <v>39.169604386995687</v>
      </c>
      <c r="J133" s="16">
        <f>1000000000/4000/PerfPowerST5[[#This Row],[Cons.]]</f>
        <v>29.377203290246769</v>
      </c>
      <c r="K133" s="16">
        <f>1000000000/5000/PerfPowerST5[[#This Row],[Cons.]]</f>
        <v>23.501762632197416</v>
      </c>
      <c r="L133" s="16">
        <f>1000000000/6000/PerfPowerST5[[#This Row],[Cons.]]</f>
        <v>19.584802193497843</v>
      </c>
      <c r="M133" s="16">
        <f>1000000000/7000/PerfPowerST5[[#This Row],[Cons.]]</f>
        <v>16.78697330871244</v>
      </c>
      <c r="N133" s="16">
        <f>1000000000/8000/PerfPowerST5[[#This Row],[Cons.]]</f>
        <v>14.688601645123384</v>
      </c>
      <c r="O133" s="16">
        <f>1000000000/9000/PerfPowerST5[[#This Row],[Cons.]]</f>
        <v>13.056534795665231</v>
      </c>
      <c r="P133" s="16">
        <f>1000000000/10000/PerfPowerST5[[#This Row],[Cons.]]</f>
        <v>11.750881316098708</v>
      </c>
      <c r="Q133" s="16">
        <f>1000000000/1000/PerfPowerST5[[#This Row],[Cons.]]</f>
        <v>117.50881316098707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>
        <f>IFERROR(IF(OR(GeneralTable[[#This Row],[Exclude From Chart]]="X",PerfPowerST5[[#This Row],[ExcludeHere]]="X",ISBLANK(GeneralTable[[#This Row],[Cons. GB5]])),NA(),GeneralTable[[#This Row],[Cons. GB5]]),NA())</f>
        <v>8264</v>
      </c>
      <c r="F134" s="12">
        <f>IFERROR(IF(OR(GeneralTable[[#This Row],[Exclude From Chart]]="X",PerfPowerST5[[#This Row],[ExcludeHere]]="X",ISBLANK(GeneralTable[[#This Row],[Dur. GB5]])),NA(),GeneralTable[[#This Row],[Dur. GB5]]),NA())</f>
        <v>120.88</v>
      </c>
      <c r="G134" s="16">
        <f>1000000000/1000/PerfPowerST5[[#This Row],[Cons.]]</f>
        <v>121.00677637947724</v>
      </c>
      <c r="H134" s="16">
        <f>1000000000/2000/PerfPowerST5[[#This Row],[Cons.]]</f>
        <v>60.503388189738622</v>
      </c>
      <c r="I134" s="16">
        <f>1000000000/3000/PerfPowerST5[[#This Row],[Cons.]]</f>
        <v>40.335592126492415</v>
      </c>
      <c r="J134" s="16">
        <f>1000000000/4000/PerfPowerST5[[#This Row],[Cons.]]</f>
        <v>30.251694094869311</v>
      </c>
      <c r="K134" s="16">
        <f>1000000000/5000/PerfPowerST5[[#This Row],[Cons.]]</f>
        <v>24.201355275895452</v>
      </c>
      <c r="L134" s="16">
        <f>1000000000/6000/PerfPowerST5[[#This Row],[Cons.]]</f>
        <v>20.167796063246207</v>
      </c>
      <c r="M134" s="16">
        <f>1000000000/7000/PerfPowerST5[[#This Row],[Cons.]]</f>
        <v>17.286682339925324</v>
      </c>
      <c r="N134" s="16">
        <f>1000000000/8000/PerfPowerST5[[#This Row],[Cons.]]</f>
        <v>15.125847047434656</v>
      </c>
      <c r="O134" s="16">
        <f>1000000000/9000/PerfPowerST5[[#This Row],[Cons.]]</f>
        <v>13.445197375497472</v>
      </c>
      <c r="P134" s="16">
        <f>1000000000/10000/PerfPowerST5[[#This Row],[Cons.]]</f>
        <v>12.100677637947726</v>
      </c>
      <c r="Q134" s="16">
        <f>1000000000/1000/PerfPowerST5[[#This Row],[Cons.]]</f>
        <v>121.00677637947724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>
        <f>IFERROR(IF(OR(GeneralTable[[#This Row],[Exclude From Chart]]="X",PerfPowerST5[[#This Row],[ExcludeHere]]="X",ISBLANK(GeneralTable[[#This Row],[Cons. GB5]])),NA(),GeneralTable[[#This Row],[Cons. GB5]]),NA())</f>
        <v>9528</v>
      </c>
      <c r="F135" s="12">
        <f>IFERROR(IF(OR(GeneralTable[[#This Row],[Exclude From Chart]]="X",PerfPowerST5[[#This Row],[ExcludeHere]]="X",ISBLANK(GeneralTable[[#This Row],[Dur. GB5]])),NA(),GeneralTable[[#This Row],[Dur. GB5]]),NA())</f>
        <v>115.24</v>
      </c>
      <c r="G135" s="16">
        <f>1000000000/1000/PerfPowerST5[[#This Row],[Cons.]]</f>
        <v>104.95382031905962</v>
      </c>
      <c r="H135" s="16">
        <f>1000000000/2000/PerfPowerST5[[#This Row],[Cons.]]</f>
        <v>52.476910159529808</v>
      </c>
      <c r="I135" s="16">
        <f>1000000000/3000/PerfPowerST5[[#This Row],[Cons.]]</f>
        <v>34.98460677301987</v>
      </c>
      <c r="J135" s="16">
        <f>1000000000/4000/PerfPowerST5[[#This Row],[Cons.]]</f>
        <v>26.238455079764904</v>
      </c>
      <c r="K135" s="16">
        <f>1000000000/5000/PerfPowerST5[[#This Row],[Cons.]]</f>
        <v>20.990764063811923</v>
      </c>
      <c r="L135" s="16">
        <f>1000000000/6000/PerfPowerST5[[#This Row],[Cons.]]</f>
        <v>17.492303386509935</v>
      </c>
      <c r="M135" s="16">
        <f>1000000000/7000/PerfPowerST5[[#This Row],[Cons.]]</f>
        <v>14.993402902722803</v>
      </c>
      <c r="N135" s="16">
        <f>1000000000/8000/PerfPowerST5[[#This Row],[Cons.]]</f>
        <v>13.119227539882452</v>
      </c>
      <c r="O135" s="16">
        <f>1000000000/9000/PerfPowerST5[[#This Row],[Cons.]]</f>
        <v>11.661535591006624</v>
      </c>
      <c r="P135" s="16">
        <f>1000000000/10000/PerfPowerST5[[#This Row],[Cons.]]</f>
        <v>10.495382031905962</v>
      </c>
      <c r="Q135" s="16">
        <f>1000000000/1000/PerfPowerST5[[#This Row],[Cons.]]</f>
        <v>104.95382031905962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>
        <f>IFERROR(IF(OR(GeneralTable[[#This Row],[Exclude From Chart]]="X",PerfPowerST5[[#This Row],[ExcludeHere]]="X",ISBLANK(GeneralTable[[#This Row],[Cons. GB5]])),NA(),GeneralTable[[#This Row],[Cons. GB5]]),NA())</f>
        <v>9997</v>
      </c>
      <c r="F136" s="12">
        <f>IFERROR(IF(OR(GeneralTable[[#This Row],[Exclude From Chart]]="X",PerfPowerST5[[#This Row],[ExcludeHere]]="X",ISBLANK(GeneralTable[[#This Row],[Dur. GB5]])),NA(),GeneralTable[[#This Row],[Dur. GB5]]),NA())</f>
        <v>114.75</v>
      </c>
      <c r="G136" s="16">
        <f>1000000000/1000/PerfPowerST5[[#This Row],[Cons.]]</f>
        <v>100.03000900270081</v>
      </c>
      <c r="H136" s="16">
        <f>1000000000/2000/PerfPowerST5[[#This Row],[Cons.]]</f>
        <v>50.015004501350404</v>
      </c>
      <c r="I136" s="16">
        <f>1000000000/3000/PerfPowerST5[[#This Row],[Cons.]]</f>
        <v>33.343336334233598</v>
      </c>
      <c r="J136" s="16">
        <f>1000000000/4000/PerfPowerST5[[#This Row],[Cons.]]</f>
        <v>25.007502250675202</v>
      </c>
      <c r="K136" s="16">
        <f>1000000000/5000/PerfPowerST5[[#This Row],[Cons.]]</f>
        <v>20.006001800540162</v>
      </c>
      <c r="L136" s="16">
        <f>1000000000/6000/PerfPowerST5[[#This Row],[Cons.]]</f>
        <v>16.671668167116799</v>
      </c>
      <c r="M136" s="16">
        <f>1000000000/7000/PerfPowerST5[[#This Row],[Cons.]]</f>
        <v>14.290001286100116</v>
      </c>
      <c r="N136" s="16">
        <f>1000000000/8000/PerfPowerST5[[#This Row],[Cons.]]</f>
        <v>12.503751125337601</v>
      </c>
      <c r="O136" s="16">
        <f>1000000000/9000/PerfPowerST5[[#This Row],[Cons.]]</f>
        <v>11.114445444744534</v>
      </c>
      <c r="P136" s="16">
        <f>1000000000/10000/PerfPowerST5[[#This Row],[Cons.]]</f>
        <v>10.003000900270081</v>
      </c>
      <c r="Q136" s="16">
        <f>1000000000/1000/PerfPowerST5[[#This Row],[Cons.]]</f>
        <v>100.03000900270081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>
        <f>IFERROR(IF(OR(GeneralTable[[#This Row],[Exclude From Chart]]="X",PerfPowerST5[[#This Row],[ExcludeHere]]="X",ISBLANK(GeneralTable[[#This Row],[Cons. GB5]])),NA(),GeneralTable[[#This Row],[Cons. GB5]]),NA())</f>
        <v>11117</v>
      </c>
      <c r="F137" s="12">
        <f>IFERROR(IF(OR(GeneralTable[[#This Row],[Exclude From Chart]]="X",PerfPowerST5[[#This Row],[ExcludeHere]]="X",ISBLANK(GeneralTable[[#This Row],[Dur. GB5]])),NA(),GeneralTable[[#This Row],[Dur. GB5]]),NA())</f>
        <v>114.08</v>
      </c>
      <c r="G137" s="16">
        <f>1000000000/1000/PerfPowerST5[[#This Row],[Cons.]]</f>
        <v>89.952325267608174</v>
      </c>
      <c r="H137" s="16">
        <f>1000000000/2000/PerfPowerST5[[#This Row],[Cons.]]</f>
        <v>44.976162633804087</v>
      </c>
      <c r="I137" s="16">
        <f>1000000000/3000/PerfPowerST5[[#This Row],[Cons.]]</f>
        <v>29.984108422536053</v>
      </c>
      <c r="J137" s="16">
        <f>1000000000/4000/PerfPowerST5[[#This Row],[Cons.]]</f>
        <v>22.488081316902043</v>
      </c>
      <c r="K137" s="16">
        <f>1000000000/5000/PerfPowerST5[[#This Row],[Cons.]]</f>
        <v>17.990465053521632</v>
      </c>
      <c r="L137" s="16">
        <f>1000000000/6000/PerfPowerST5[[#This Row],[Cons.]]</f>
        <v>14.992054211268027</v>
      </c>
      <c r="M137" s="16">
        <f>1000000000/7000/PerfPowerST5[[#This Row],[Cons.]]</f>
        <v>12.850332181086882</v>
      </c>
      <c r="N137" s="16">
        <f>1000000000/8000/PerfPowerST5[[#This Row],[Cons.]]</f>
        <v>11.244040658451022</v>
      </c>
      <c r="O137" s="16">
        <f>1000000000/9000/PerfPowerST5[[#This Row],[Cons.]]</f>
        <v>9.9947028075120183</v>
      </c>
      <c r="P137" s="16">
        <f>1000000000/10000/PerfPowerST5[[#This Row],[Cons.]]</f>
        <v>8.995232526760816</v>
      </c>
      <c r="Q137" s="16">
        <f>1000000000/1000/PerfPowerST5[[#This Row],[Cons.]]</f>
        <v>89.952325267608174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>
        <f>IFERROR(IF(OR(GeneralTable[[#This Row],[Exclude From Chart]]="X",PerfPowerST5[[#This Row],[ExcludeHere]]="X",ISBLANK(GeneralTable[[#This Row],[Cons. GB5]])),NA(),GeneralTable[[#This Row],[Cons. GB5]]),NA())</f>
        <v>3602</v>
      </c>
      <c r="F139" s="12">
        <f>IFERROR(IF(OR(GeneralTable[[#This Row],[Exclude From Chart]]="X",PerfPowerST5[[#This Row],[ExcludeHere]]="X",ISBLANK(GeneralTable[[#This Row],[Dur. GB5]])),NA(),GeneralTable[[#This Row],[Dur. GB5]]),NA())</f>
        <v>126.32</v>
      </c>
      <c r="G139" s="16">
        <f>1000000000/1000/PerfPowerST5[[#This Row],[Cons.]]</f>
        <v>277.62354247640201</v>
      </c>
      <c r="H139" s="16">
        <f>1000000000/2000/PerfPowerST5[[#This Row],[Cons.]]</f>
        <v>138.811771238201</v>
      </c>
      <c r="I139" s="16">
        <f>1000000000/3000/PerfPowerST5[[#This Row],[Cons.]]</f>
        <v>92.541180825467322</v>
      </c>
      <c r="J139" s="16">
        <f>1000000000/4000/PerfPowerST5[[#This Row],[Cons.]]</f>
        <v>69.405885619100502</v>
      </c>
      <c r="K139" s="16">
        <f>1000000000/5000/PerfPowerST5[[#This Row],[Cons.]]</f>
        <v>55.5247084952804</v>
      </c>
      <c r="L139" s="16">
        <f>1000000000/6000/PerfPowerST5[[#This Row],[Cons.]]</f>
        <v>46.270590412733661</v>
      </c>
      <c r="M139" s="16">
        <f>1000000000/7000/PerfPowerST5[[#This Row],[Cons.]]</f>
        <v>39.66050606805743</v>
      </c>
      <c r="N139" s="16">
        <f>1000000000/8000/PerfPowerST5[[#This Row],[Cons.]]</f>
        <v>34.702942809550251</v>
      </c>
      <c r="O139" s="16">
        <f>1000000000/9000/PerfPowerST5[[#This Row],[Cons.]]</f>
        <v>30.847060275155776</v>
      </c>
      <c r="P139" s="16">
        <f>1000000000/10000/PerfPowerST5[[#This Row],[Cons.]]</f>
        <v>27.7623542476402</v>
      </c>
      <c r="Q139" s="16">
        <f>1000000000/1000/PerfPowerST5[[#This Row],[Cons.]]</f>
        <v>277.62354247640201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0" s="16" t="e">
        <f>1000000000/1000/PerfPowerST5[[#This Row],[Cons.]]</f>
        <v>#N/A</v>
      </c>
      <c r="H140" s="16" t="e">
        <f>1000000000/2000/PerfPowerST5[[#This Row],[Cons.]]</f>
        <v>#N/A</v>
      </c>
      <c r="I140" s="16" t="e">
        <f>1000000000/3000/PerfPowerST5[[#This Row],[Cons.]]</f>
        <v>#N/A</v>
      </c>
      <c r="J140" s="16" t="e">
        <f>1000000000/4000/PerfPowerST5[[#This Row],[Cons.]]</f>
        <v>#N/A</v>
      </c>
      <c r="K140" s="16" t="e">
        <f>1000000000/5000/PerfPowerST5[[#This Row],[Cons.]]</f>
        <v>#N/A</v>
      </c>
      <c r="L140" s="16" t="e">
        <f>1000000000/6000/PerfPowerST5[[#This Row],[Cons.]]</f>
        <v>#N/A</v>
      </c>
      <c r="M140" s="16" t="e">
        <f>1000000000/7000/PerfPowerST5[[#This Row],[Cons.]]</f>
        <v>#N/A</v>
      </c>
      <c r="N140" s="16" t="e">
        <f>1000000000/8000/PerfPowerST5[[#This Row],[Cons.]]</f>
        <v>#N/A</v>
      </c>
      <c r="O140" s="16" t="e">
        <f>1000000000/9000/PerfPowerST5[[#This Row],[Cons.]]</f>
        <v>#N/A</v>
      </c>
      <c r="P140" s="16" t="e">
        <f>1000000000/10000/PerfPowerST5[[#This Row],[Cons.]]</f>
        <v>#N/A</v>
      </c>
      <c r="Q140" s="16" t="e">
        <f>1000000000/1000/PerfPowerST5[[#This Row],[Cons.]]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2" s="16" t="e">
        <f>1000000000/1000/PerfPowerST5[[#This Row],[Cons.]]</f>
        <v>#N/A</v>
      </c>
      <c r="H142" s="16" t="e">
        <f>1000000000/2000/PerfPowerST5[[#This Row],[Cons.]]</f>
        <v>#N/A</v>
      </c>
      <c r="I142" s="16" t="e">
        <f>1000000000/3000/PerfPowerST5[[#This Row],[Cons.]]</f>
        <v>#N/A</v>
      </c>
      <c r="J142" s="16" t="e">
        <f>1000000000/4000/PerfPowerST5[[#This Row],[Cons.]]</f>
        <v>#N/A</v>
      </c>
      <c r="K142" s="16" t="e">
        <f>1000000000/5000/PerfPowerST5[[#This Row],[Cons.]]</f>
        <v>#N/A</v>
      </c>
      <c r="L142" s="16" t="e">
        <f>1000000000/6000/PerfPowerST5[[#This Row],[Cons.]]</f>
        <v>#N/A</v>
      </c>
      <c r="M142" s="16" t="e">
        <f>1000000000/7000/PerfPowerST5[[#This Row],[Cons.]]</f>
        <v>#N/A</v>
      </c>
      <c r="N142" s="16" t="e">
        <f>1000000000/8000/PerfPowerST5[[#This Row],[Cons.]]</f>
        <v>#N/A</v>
      </c>
      <c r="O142" s="16" t="e">
        <f>1000000000/9000/PerfPowerST5[[#This Row],[Cons.]]</f>
        <v>#N/A</v>
      </c>
      <c r="P142" s="16" t="e">
        <f>1000000000/10000/PerfPowerST5[[#This Row],[Cons.]]</f>
        <v>#N/A</v>
      </c>
      <c r="Q142" s="16" t="e">
        <f>1000000000/1000/PerfPowerST5[[#This Row],[Cons.]]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4" s="16" t="e">
        <f>1000000000/1000/PerfPowerST5[[#This Row],[Cons.]]</f>
        <v>#N/A</v>
      </c>
      <c r="H144" s="16" t="e">
        <f>1000000000/2000/PerfPowerST5[[#This Row],[Cons.]]</f>
        <v>#N/A</v>
      </c>
      <c r="I144" s="16" t="e">
        <f>1000000000/3000/PerfPowerST5[[#This Row],[Cons.]]</f>
        <v>#N/A</v>
      </c>
      <c r="J144" s="16" t="e">
        <f>1000000000/4000/PerfPowerST5[[#This Row],[Cons.]]</f>
        <v>#N/A</v>
      </c>
      <c r="K144" s="16" t="e">
        <f>1000000000/5000/PerfPowerST5[[#This Row],[Cons.]]</f>
        <v>#N/A</v>
      </c>
      <c r="L144" s="16" t="e">
        <f>1000000000/6000/PerfPowerST5[[#This Row],[Cons.]]</f>
        <v>#N/A</v>
      </c>
      <c r="M144" s="16" t="e">
        <f>1000000000/7000/PerfPowerST5[[#This Row],[Cons.]]</f>
        <v>#N/A</v>
      </c>
      <c r="N144" s="16" t="e">
        <f>1000000000/8000/PerfPowerST5[[#This Row],[Cons.]]</f>
        <v>#N/A</v>
      </c>
      <c r="O144" s="16" t="e">
        <f>1000000000/9000/PerfPowerST5[[#This Row],[Cons.]]</f>
        <v>#N/A</v>
      </c>
      <c r="P144" s="16" t="e">
        <f>1000000000/10000/PerfPowerST5[[#This Row],[Cons.]]</f>
        <v>#N/A</v>
      </c>
      <c r="Q144" s="16" t="e">
        <f>1000000000/1000/PerfPowerST5[[#This Row],[Cons.]]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5" s="16" t="e">
        <f>1000000000/1000/PerfPowerST5[[#This Row],[Cons.]]</f>
        <v>#N/A</v>
      </c>
      <c r="H145" s="16" t="e">
        <f>1000000000/2000/PerfPowerST5[[#This Row],[Cons.]]</f>
        <v>#N/A</v>
      </c>
      <c r="I145" s="16" t="e">
        <f>1000000000/3000/PerfPowerST5[[#This Row],[Cons.]]</f>
        <v>#N/A</v>
      </c>
      <c r="J145" s="16" t="e">
        <f>1000000000/4000/PerfPowerST5[[#This Row],[Cons.]]</f>
        <v>#N/A</v>
      </c>
      <c r="K145" s="16" t="e">
        <f>1000000000/5000/PerfPowerST5[[#This Row],[Cons.]]</f>
        <v>#N/A</v>
      </c>
      <c r="L145" s="16" t="e">
        <f>1000000000/6000/PerfPowerST5[[#This Row],[Cons.]]</f>
        <v>#N/A</v>
      </c>
      <c r="M145" s="16" t="e">
        <f>1000000000/7000/PerfPowerST5[[#This Row],[Cons.]]</f>
        <v>#N/A</v>
      </c>
      <c r="N145" s="16" t="e">
        <f>1000000000/8000/PerfPowerST5[[#This Row],[Cons.]]</f>
        <v>#N/A</v>
      </c>
      <c r="O145" s="16" t="e">
        <f>1000000000/9000/PerfPowerST5[[#This Row],[Cons.]]</f>
        <v>#N/A</v>
      </c>
      <c r="P145" s="16" t="e">
        <f>1000000000/10000/PerfPowerST5[[#This Row],[Cons.]]</f>
        <v>#N/A</v>
      </c>
      <c r="Q145" s="16" t="e">
        <f>1000000000/1000/PerfPowerST5[[#This Row],[Cons.]]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1" s="16" t="e">
        <f>1000000000/1000/PerfPowerST5[[#This Row],[Cons.]]</f>
        <v>#N/A</v>
      </c>
      <c r="H151" s="16" t="e">
        <f>1000000000/2000/PerfPowerST5[[#This Row],[Cons.]]</f>
        <v>#N/A</v>
      </c>
      <c r="I151" s="16" t="e">
        <f>1000000000/3000/PerfPowerST5[[#This Row],[Cons.]]</f>
        <v>#N/A</v>
      </c>
      <c r="J151" s="16" t="e">
        <f>1000000000/4000/PerfPowerST5[[#This Row],[Cons.]]</f>
        <v>#N/A</v>
      </c>
      <c r="K151" s="16" t="e">
        <f>1000000000/5000/PerfPowerST5[[#This Row],[Cons.]]</f>
        <v>#N/A</v>
      </c>
      <c r="L151" s="16" t="e">
        <f>1000000000/6000/PerfPowerST5[[#This Row],[Cons.]]</f>
        <v>#N/A</v>
      </c>
      <c r="M151" s="16" t="e">
        <f>1000000000/7000/PerfPowerST5[[#This Row],[Cons.]]</f>
        <v>#N/A</v>
      </c>
      <c r="N151" s="16" t="e">
        <f>1000000000/8000/PerfPowerST5[[#This Row],[Cons.]]</f>
        <v>#N/A</v>
      </c>
      <c r="O151" s="16" t="e">
        <f>1000000000/9000/PerfPowerST5[[#This Row],[Cons.]]</f>
        <v>#N/A</v>
      </c>
      <c r="P151" s="16" t="e">
        <f>1000000000/10000/PerfPowerST5[[#This Row],[Cons.]]</f>
        <v>#N/A</v>
      </c>
      <c r="Q151" s="16" t="e">
        <f>1000000000/1000/PerfPowerST5[[#This Row],[Cons.]]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3"/>
  <sheetViews>
    <sheetView workbookViewId="0">
      <selection activeCell="B4" sqref="B4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1.5546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274</v>
      </c>
      <c r="C2" t="s">
        <v>336</v>
      </c>
    </row>
    <row r="4" spans="2:3" ht="27" customHeight="1" x14ac:dyDescent="0.3">
      <c r="B4" s="1" t="s">
        <v>6</v>
      </c>
      <c r="C4" t="s">
        <v>326</v>
      </c>
    </row>
    <row r="5" spans="2:3" ht="27" customHeight="1" x14ac:dyDescent="0.3">
      <c r="B5" s="2" t="s">
        <v>316</v>
      </c>
      <c r="C5">
        <v>37.9</v>
      </c>
    </row>
    <row r="6" spans="2:3" ht="27" customHeight="1" x14ac:dyDescent="0.3">
      <c r="B6" s="2" t="s">
        <v>315</v>
      </c>
      <c r="C6">
        <v>56.38</v>
      </c>
    </row>
    <row r="7" spans="2:3" ht="27" customHeight="1" x14ac:dyDescent="0.3">
      <c r="B7" s="2" t="s">
        <v>242</v>
      </c>
      <c r="C7">
        <v>58.25</v>
      </c>
    </row>
    <row r="8" spans="2:3" ht="27" customHeight="1" x14ac:dyDescent="0.3">
      <c r="B8" s="2" t="s">
        <v>111</v>
      </c>
      <c r="C8">
        <v>58.95</v>
      </c>
    </row>
    <row r="9" spans="2:3" ht="27" customHeight="1" x14ac:dyDescent="0.3">
      <c r="B9" s="2" t="s">
        <v>243</v>
      </c>
      <c r="C9">
        <v>61.55</v>
      </c>
    </row>
    <row r="10" spans="2:3" ht="27" customHeight="1" x14ac:dyDescent="0.3">
      <c r="B10" s="2" t="s">
        <v>292</v>
      </c>
      <c r="C10">
        <v>65.849999999999994</v>
      </c>
    </row>
    <row r="11" spans="2:3" ht="27" customHeight="1" x14ac:dyDescent="0.3">
      <c r="B11" s="2" t="s">
        <v>297</v>
      </c>
      <c r="C11">
        <v>71.430000000000007</v>
      </c>
    </row>
    <row r="12" spans="2:3" ht="27" customHeight="1" x14ac:dyDescent="0.3">
      <c r="B12" s="2" t="s">
        <v>97</v>
      </c>
      <c r="C12">
        <v>74.44</v>
      </c>
    </row>
    <row r="13" spans="2:3" ht="27" customHeight="1" x14ac:dyDescent="0.3">
      <c r="B13" s="2" t="s">
        <v>284</v>
      </c>
      <c r="C13">
        <v>77.22</v>
      </c>
    </row>
    <row r="14" spans="2:3" ht="27" customHeight="1" x14ac:dyDescent="0.3">
      <c r="B14" s="2" t="s">
        <v>286</v>
      </c>
      <c r="C14">
        <v>78.09</v>
      </c>
    </row>
    <row r="15" spans="2:3" ht="27" customHeight="1" x14ac:dyDescent="0.3">
      <c r="B15" s="2" t="s">
        <v>295</v>
      </c>
      <c r="C15">
        <v>83.47</v>
      </c>
    </row>
    <row r="16" spans="2:3" ht="27" customHeight="1" x14ac:dyDescent="0.3">
      <c r="B16" s="2" t="s">
        <v>253</v>
      </c>
      <c r="C16">
        <v>83.49</v>
      </c>
    </row>
    <row r="17" spans="2:3" ht="27" customHeight="1" x14ac:dyDescent="0.3">
      <c r="B17" s="2" t="s">
        <v>296</v>
      </c>
      <c r="C17">
        <v>83.97</v>
      </c>
    </row>
    <row r="18" spans="2:3" ht="27" customHeight="1" x14ac:dyDescent="0.3">
      <c r="B18" s="2" t="s">
        <v>264</v>
      </c>
      <c r="C18">
        <v>88.24</v>
      </c>
    </row>
    <row r="19" spans="2:3" ht="27" customHeight="1" x14ac:dyDescent="0.3">
      <c r="B19" s="2" t="s">
        <v>289</v>
      </c>
      <c r="C19">
        <v>94.92</v>
      </c>
    </row>
    <row r="20" spans="2:3" ht="27" customHeight="1" x14ac:dyDescent="0.3">
      <c r="B20" s="2" t="s">
        <v>291</v>
      </c>
      <c r="C20">
        <v>95.02</v>
      </c>
    </row>
    <row r="21" spans="2:3" ht="27" customHeight="1" x14ac:dyDescent="0.3">
      <c r="B21" s="2" t="s">
        <v>112</v>
      </c>
      <c r="C21">
        <v>101.29</v>
      </c>
    </row>
    <row r="22" spans="2:3" ht="27" customHeight="1" x14ac:dyDescent="0.3">
      <c r="B22" s="2" t="s">
        <v>322</v>
      </c>
      <c r="C22">
        <v>101.43</v>
      </c>
    </row>
    <row r="23" spans="2:3" ht="27" customHeight="1" x14ac:dyDescent="0.3">
      <c r="B23" s="2" t="s">
        <v>265</v>
      </c>
      <c r="C23">
        <v>107.39</v>
      </c>
    </row>
    <row r="24" spans="2:3" ht="27" customHeight="1" x14ac:dyDescent="0.3">
      <c r="B24" s="2" t="s">
        <v>285</v>
      </c>
      <c r="C24">
        <v>111.07</v>
      </c>
    </row>
    <row r="25" spans="2:3" ht="27" customHeight="1" x14ac:dyDescent="0.3">
      <c r="B25" s="2" t="s">
        <v>113</v>
      </c>
      <c r="C25">
        <v>112.03</v>
      </c>
    </row>
    <row r="26" spans="2:3" ht="27" customHeight="1" x14ac:dyDescent="0.3">
      <c r="B26" s="2" t="s">
        <v>311</v>
      </c>
      <c r="C26">
        <v>117.05</v>
      </c>
    </row>
    <row r="27" spans="2:3" ht="27" customHeight="1" x14ac:dyDescent="0.3">
      <c r="B27" s="2" t="s">
        <v>312</v>
      </c>
      <c r="C27">
        <v>117.28</v>
      </c>
    </row>
    <row r="28" spans="2:3" ht="27" customHeight="1" x14ac:dyDescent="0.3">
      <c r="B28" s="2" t="s">
        <v>310</v>
      </c>
      <c r="C28">
        <v>123.05</v>
      </c>
    </row>
    <row r="29" spans="2:3" ht="27" customHeight="1" x14ac:dyDescent="0.3">
      <c r="B29" s="2" t="s">
        <v>288</v>
      </c>
      <c r="C29">
        <v>126.49</v>
      </c>
    </row>
    <row r="30" spans="2:3" ht="27" customHeight="1" x14ac:dyDescent="0.3">
      <c r="B30" s="2" t="s">
        <v>299</v>
      </c>
      <c r="C30">
        <v>127.66</v>
      </c>
    </row>
    <row r="31" spans="2:3" ht="27" customHeight="1" x14ac:dyDescent="0.3">
      <c r="B31" s="2" t="s">
        <v>49</v>
      </c>
      <c r="C31">
        <v>127.76</v>
      </c>
    </row>
    <row r="32" spans="2:3" ht="27" customHeight="1" x14ac:dyDescent="0.3">
      <c r="B32" s="2" t="s">
        <v>254</v>
      </c>
      <c r="C32">
        <v>137.88</v>
      </c>
    </row>
    <row r="33" spans="2:3" ht="27" customHeight="1" x14ac:dyDescent="0.3">
      <c r="B33" s="2" t="s">
        <v>314</v>
      </c>
      <c r="C33">
        <v>139.27000000000001</v>
      </c>
    </row>
    <row r="34" spans="2:3" ht="27" customHeight="1" x14ac:dyDescent="0.3">
      <c r="B34" s="2" t="s">
        <v>283</v>
      </c>
      <c r="C34">
        <v>143.16999999999999</v>
      </c>
    </row>
    <row r="35" spans="2:3" ht="27" customHeight="1" x14ac:dyDescent="0.3">
      <c r="B35" s="2" t="s">
        <v>304</v>
      </c>
      <c r="C35">
        <v>145.66</v>
      </c>
    </row>
    <row r="36" spans="2:3" ht="27" customHeight="1" x14ac:dyDescent="0.3">
      <c r="B36" s="2" t="s">
        <v>255</v>
      </c>
      <c r="C36">
        <v>146.74</v>
      </c>
    </row>
    <row r="37" spans="2:3" ht="27" customHeight="1" x14ac:dyDescent="0.3">
      <c r="B37" s="2" t="s">
        <v>302</v>
      </c>
      <c r="C37">
        <v>146.91</v>
      </c>
    </row>
    <row r="38" spans="2:3" ht="27" customHeight="1" x14ac:dyDescent="0.3">
      <c r="B38" s="2" t="s">
        <v>303</v>
      </c>
      <c r="C38">
        <v>148.72</v>
      </c>
    </row>
    <row r="39" spans="2:3" ht="27" customHeight="1" x14ac:dyDescent="0.3">
      <c r="B39" s="2" t="s">
        <v>309</v>
      </c>
      <c r="C39">
        <v>151.38999999999999</v>
      </c>
    </row>
    <row r="40" spans="2:3" ht="27" customHeight="1" x14ac:dyDescent="0.3">
      <c r="B40" s="2" t="s">
        <v>256</v>
      </c>
      <c r="C40">
        <v>153.88</v>
      </c>
    </row>
    <row r="41" spans="2:3" ht="27" customHeight="1" x14ac:dyDescent="0.3">
      <c r="B41" s="2" t="s">
        <v>294</v>
      </c>
      <c r="C41">
        <v>155.84</v>
      </c>
    </row>
    <row r="42" spans="2:3" ht="27" customHeight="1" x14ac:dyDescent="0.3">
      <c r="B42" s="2" t="s">
        <v>257</v>
      </c>
      <c r="C42">
        <v>158.59</v>
      </c>
    </row>
    <row r="43" spans="2:3" ht="27" customHeight="1" x14ac:dyDescent="0.3">
      <c r="B43" s="2" t="s">
        <v>323</v>
      </c>
      <c r="C43">
        <v>163.87</v>
      </c>
    </row>
    <row r="44" spans="2:3" ht="27" customHeight="1" x14ac:dyDescent="0.3">
      <c r="B44" s="2" t="s">
        <v>321</v>
      </c>
      <c r="C44">
        <v>166.98</v>
      </c>
    </row>
    <row r="45" spans="2:3" ht="27" customHeight="1" x14ac:dyDescent="0.3">
      <c r="B45" s="2" t="s">
        <v>306</v>
      </c>
      <c r="C45">
        <v>171.78</v>
      </c>
    </row>
    <row r="46" spans="2:3" ht="27" customHeight="1" x14ac:dyDescent="0.3">
      <c r="B46" s="2" t="s">
        <v>300</v>
      </c>
      <c r="C46">
        <v>177.67</v>
      </c>
    </row>
    <row r="47" spans="2:3" ht="27" customHeight="1" x14ac:dyDescent="0.3">
      <c r="B47" s="2" t="s">
        <v>324</v>
      </c>
      <c r="C47">
        <v>178</v>
      </c>
    </row>
    <row r="48" spans="2:3" ht="27" customHeight="1" x14ac:dyDescent="0.3">
      <c r="B48" s="2" t="s">
        <v>325</v>
      </c>
      <c r="C48">
        <v>185.54</v>
      </c>
    </row>
    <row r="49" spans="2:3" ht="27" customHeight="1" x14ac:dyDescent="0.3">
      <c r="B49" s="2" t="s">
        <v>307</v>
      </c>
      <c r="C49">
        <v>185.72</v>
      </c>
    </row>
    <row r="50" spans="2:3" ht="27" customHeight="1" x14ac:dyDescent="0.3">
      <c r="B50" s="2" t="s">
        <v>293</v>
      </c>
      <c r="C50">
        <v>188.44</v>
      </c>
    </row>
    <row r="51" spans="2:3" ht="27" customHeight="1" x14ac:dyDescent="0.3">
      <c r="B51" s="2" t="s">
        <v>287</v>
      </c>
      <c r="C51">
        <v>190</v>
      </c>
    </row>
    <row r="52" spans="2:3" ht="27" customHeight="1" x14ac:dyDescent="0.3">
      <c r="B52" s="2" t="s">
        <v>318</v>
      </c>
      <c r="C52">
        <v>190.98</v>
      </c>
    </row>
    <row r="53" spans="2:3" ht="27" customHeight="1" x14ac:dyDescent="0.3">
      <c r="B53" s="2" t="s">
        <v>319</v>
      </c>
      <c r="C53">
        <v>196.33</v>
      </c>
    </row>
    <row r="54" spans="2:3" ht="27" customHeight="1" x14ac:dyDescent="0.3">
      <c r="B54" s="2" t="s">
        <v>320</v>
      </c>
      <c r="C54">
        <v>201.69</v>
      </c>
    </row>
    <row r="55" spans="2:3" ht="27" customHeight="1" x14ac:dyDescent="0.3">
      <c r="B55" s="2" t="s">
        <v>317</v>
      </c>
      <c r="C55">
        <v>201.7</v>
      </c>
    </row>
    <row r="56" spans="2:3" ht="27" customHeight="1" x14ac:dyDescent="0.3">
      <c r="B56" s="2" t="s">
        <v>305</v>
      </c>
      <c r="C56">
        <v>205.28</v>
      </c>
    </row>
    <row r="57" spans="2:3" ht="27" customHeight="1" x14ac:dyDescent="0.3">
      <c r="B57" s="2" t="s">
        <v>290</v>
      </c>
      <c r="C57">
        <v>210.66</v>
      </c>
    </row>
    <row r="58" spans="2:3" ht="27" customHeight="1" x14ac:dyDescent="0.3">
      <c r="B58" s="2" t="s">
        <v>266</v>
      </c>
      <c r="C58">
        <v>216.08</v>
      </c>
    </row>
    <row r="59" spans="2:3" ht="27" customHeight="1" x14ac:dyDescent="0.3">
      <c r="B59" s="2" t="s">
        <v>308</v>
      </c>
      <c r="C59">
        <v>221.41</v>
      </c>
    </row>
    <row r="60" spans="2:3" ht="27" customHeight="1" x14ac:dyDescent="0.3">
      <c r="B60" s="2" t="s">
        <v>313</v>
      </c>
      <c r="C60">
        <v>245.16</v>
      </c>
    </row>
    <row r="61" spans="2:3" ht="27" customHeight="1" x14ac:dyDescent="0.3">
      <c r="B61" s="2" t="s">
        <v>301</v>
      </c>
      <c r="C61">
        <v>297.27408581529943</v>
      </c>
    </row>
    <row r="62" spans="2:3" ht="27" customHeight="1" x14ac:dyDescent="0.3">
      <c r="B62" s="2" t="s">
        <v>298</v>
      </c>
      <c r="C62">
        <v>860.7</v>
      </c>
    </row>
    <row r="63" spans="2:3" ht="27" customHeight="1" x14ac:dyDescent="0.3">
      <c r="B63" s="2" t="s">
        <v>7</v>
      </c>
      <c r="C63">
        <v>8724.9840858152984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3"/>
  <sheetViews>
    <sheetView workbookViewId="0">
      <selection activeCell="B5" sqref="B5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1093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275</v>
      </c>
      <c r="C2" t="s">
        <v>336</v>
      </c>
    </row>
    <row r="4" spans="2:3" ht="27" customHeight="1" x14ac:dyDescent="0.3">
      <c r="B4" s="1" t="s">
        <v>6</v>
      </c>
      <c r="C4" t="s">
        <v>327</v>
      </c>
    </row>
    <row r="5" spans="2:3" ht="27" customHeight="1" x14ac:dyDescent="0.3">
      <c r="B5" s="2" t="s">
        <v>316</v>
      </c>
      <c r="C5">
        <v>32110.52</v>
      </c>
    </row>
    <row r="6" spans="2:3" ht="27" customHeight="1" x14ac:dyDescent="0.3">
      <c r="B6" s="2" t="s">
        <v>315</v>
      </c>
      <c r="C6">
        <v>29352</v>
      </c>
    </row>
    <row r="7" spans="2:3" ht="27" customHeight="1" x14ac:dyDescent="0.3">
      <c r="B7" s="2" t="s">
        <v>242</v>
      </c>
      <c r="C7">
        <v>27864</v>
      </c>
    </row>
    <row r="8" spans="2:3" ht="27" customHeight="1" x14ac:dyDescent="0.3">
      <c r="B8" s="2" t="s">
        <v>97</v>
      </c>
      <c r="C8">
        <v>26935</v>
      </c>
    </row>
    <row r="9" spans="2:3" ht="27" customHeight="1" x14ac:dyDescent="0.3">
      <c r="B9" s="2" t="s">
        <v>297</v>
      </c>
      <c r="C9">
        <v>26897</v>
      </c>
    </row>
    <row r="10" spans="2:3" ht="27" customHeight="1" x14ac:dyDescent="0.3">
      <c r="B10" s="2" t="s">
        <v>243</v>
      </c>
      <c r="C10">
        <v>25887</v>
      </c>
    </row>
    <row r="11" spans="2:3" ht="27" customHeight="1" x14ac:dyDescent="0.3">
      <c r="B11" s="2" t="s">
        <v>284</v>
      </c>
      <c r="C11">
        <v>24558</v>
      </c>
    </row>
    <row r="12" spans="2:3" ht="27" customHeight="1" x14ac:dyDescent="0.3">
      <c r="B12" s="2" t="s">
        <v>296</v>
      </c>
      <c r="C12">
        <v>23458.63</v>
      </c>
    </row>
    <row r="13" spans="2:3" ht="27" customHeight="1" x14ac:dyDescent="0.3">
      <c r="B13" s="2" t="s">
        <v>312</v>
      </c>
      <c r="C13">
        <v>21271</v>
      </c>
    </row>
    <row r="14" spans="2:3" ht="27" customHeight="1" x14ac:dyDescent="0.3">
      <c r="B14" s="2" t="s">
        <v>311</v>
      </c>
      <c r="C14">
        <v>21111</v>
      </c>
    </row>
    <row r="15" spans="2:3" ht="27" customHeight="1" x14ac:dyDescent="0.3">
      <c r="B15" s="2" t="s">
        <v>295</v>
      </c>
      <c r="C15">
        <v>20987</v>
      </c>
    </row>
    <row r="16" spans="2:3" ht="27" customHeight="1" x14ac:dyDescent="0.3">
      <c r="B16" s="2" t="s">
        <v>310</v>
      </c>
      <c r="C16">
        <v>20376</v>
      </c>
    </row>
    <row r="17" spans="2:3" ht="27" customHeight="1" x14ac:dyDescent="0.3">
      <c r="B17" s="2" t="s">
        <v>289</v>
      </c>
      <c r="C17">
        <v>20057.62</v>
      </c>
    </row>
    <row r="18" spans="2:3" ht="27" customHeight="1" x14ac:dyDescent="0.3">
      <c r="B18" s="2" t="s">
        <v>314</v>
      </c>
      <c r="C18">
        <v>19138.57</v>
      </c>
    </row>
    <row r="19" spans="2:3" ht="27" customHeight="1" x14ac:dyDescent="0.3">
      <c r="B19" s="2" t="s">
        <v>322</v>
      </c>
      <c r="C19">
        <v>18633.27</v>
      </c>
    </row>
    <row r="20" spans="2:3" ht="27" customHeight="1" x14ac:dyDescent="0.3">
      <c r="B20" s="2" t="s">
        <v>304</v>
      </c>
      <c r="C20">
        <v>16888</v>
      </c>
    </row>
    <row r="21" spans="2:3" ht="27" customHeight="1" x14ac:dyDescent="0.3">
      <c r="B21" s="2" t="s">
        <v>303</v>
      </c>
      <c r="C21">
        <v>16621</v>
      </c>
    </row>
    <row r="22" spans="2:3" ht="27" customHeight="1" x14ac:dyDescent="0.3">
      <c r="B22" s="2" t="s">
        <v>309</v>
      </c>
      <c r="C22">
        <v>16232</v>
      </c>
    </row>
    <row r="23" spans="2:3" ht="27" customHeight="1" x14ac:dyDescent="0.3">
      <c r="B23" s="2" t="s">
        <v>302</v>
      </c>
      <c r="C23">
        <v>16019</v>
      </c>
    </row>
    <row r="24" spans="2:3" ht="27" customHeight="1" x14ac:dyDescent="0.3">
      <c r="B24" s="2" t="s">
        <v>112</v>
      </c>
      <c r="C24">
        <v>15775</v>
      </c>
    </row>
    <row r="25" spans="2:3" ht="27" customHeight="1" x14ac:dyDescent="0.3">
      <c r="B25" s="2" t="s">
        <v>318</v>
      </c>
      <c r="C25">
        <v>14623</v>
      </c>
    </row>
    <row r="26" spans="2:3" ht="27" customHeight="1" x14ac:dyDescent="0.3">
      <c r="B26" s="2" t="s">
        <v>319</v>
      </c>
      <c r="C26">
        <v>14127</v>
      </c>
    </row>
    <row r="27" spans="2:3" ht="27" customHeight="1" x14ac:dyDescent="0.3">
      <c r="B27" s="2" t="s">
        <v>299</v>
      </c>
      <c r="C27">
        <v>14109</v>
      </c>
    </row>
    <row r="28" spans="2:3" ht="27" customHeight="1" x14ac:dyDescent="0.3">
      <c r="B28" s="2" t="s">
        <v>317</v>
      </c>
      <c r="C28">
        <v>13802</v>
      </c>
    </row>
    <row r="29" spans="2:3" ht="27" customHeight="1" x14ac:dyDescent="0.3">
      <c r="B29" s="2" t="s">
        <v>320</v>
      </c>
      <c r="C29">
        <v>13798</v>
      </c>
    </row>
    <row r="30" spans="2:3" ht="27" customHeight="1" x14ac:dyDescent="0.3">
      <c r="B30" s="2" t="s">
        <v>286</v>
      </c>
      <c r="C30">
        <v>13745</v>
      </c>
    </row>
    <row r="31" spans="2:3" ht="27" customHeight="1" x14ac:dyDescent="0.3">
      <c r="B31" s="2" t="s">
        <v>111</v>
      </c>
      <c r="C31">
        <v>13379.46</v>
      </c>
    </row>
    <row r="32" spans="2:3" ht="27" customHeight="1" x14ac:dyDescent="0.3">
      <c r="B32" s="2" t="s">
        <v>285</v>
      </c>
      <c r="C32">
        <v>13062.5</v>
      </c>
    </row>
    <row r="33" spans="2:3" ht="27" customHeight="1" x14ac:dyDescent="0.3">
      <c r="B33" s="2" t="s">
        <v>323</v>
      </c>
      <c r="C33">
        <v>12527</v>
      </c>
    </row>
    <row r="34" spans="2:3" ht="27" customHeight="1" x14ac:dyDescent="0.3">
      <c r="B34" s="2" t="s">
        <v>306</v>
      </c>
      <c r="C34">
        <v>12332</v>
      </c>
    </row>
    <row r="35" spans="2:3" ht="27" customHeight="1" x14ac:dyDescent="0.3">
      <c r="B35" s="2" t="s">
        <v>264</v>
      </c>
      <c r="C35">
        <v>11657</v>
      </c>
    </row>
    <row r="36" spans="2:3" ht="27" customHeight="1" x14ac:dyDescent="0.3">
      <c r="B36" s="2" t="s">
        <v>294</v>
      </c>
      <c r="C36">
        <v>11590</v>
      </c>
    </row>
    <row r="37" spans="2:3" ht="27" customHeight="1" x14ac:dyDescent="0.3">
      <c r="B37" s="2" t="s">
        <v>253</v>
      </c>
      <c r="C37">
        <v>11096</v>
      </c>
    </row>
    <row r="38" spans="2:3" ht="27" customHeight="1" x14ac:dyDescent="0.3">
      <c r="B38" s="2" t="s">
        <v>308</v>
      </c>
      <c r="C38">
        <v>10913</v>
      </c>
    </row>
    <row r="39" spans="2:3" ht="27" customHeight="1" x14ac:dyDescent="0.3">
      <c r="B39" s="2" t="s">
        <v>321</v>
      </c>
      <c r="C39">
        <v>10863.79</v>
      </c>
    </row>
    <row r="40" spans="2:3" ht="27" customHeight="1" x14ac:dyDescent="0.3">
      <c r="B40" s="2" t="s">
        <v>324</v>
      </c>
      <c r="C40">
        <v>10571</v>
      </c>
    </row>
    <row r="41" spans="2:3" ht="27" customHeight="1" x14ac:dyDescent="0.3">
      <c r="B41" s="2" t="s">
        <v>255</v>
      </c>
      <c r="C41">
        <v>10450</v>
      </c>
    </row>
    <row r="42" spans="2:3" ht="27" customHeight="1" x14ac:dyDescent="0.3">
      <c r="B42" s="2" t="s">
        <v>283</v>
      </c>
      <c r="C42">
        <v>10432</v>
      </c>
    </row>
    <row r="43" spans="2:3" ht="27" customHeight="1" x14ac:dyDescent="0.3">
      <c r="B43" s="2" t="s">
        <v>254</v>
      </c>
      <c r="C43">
        <v>10396</v>
      </c>
    </row>
    <row r="44" spans="2:3" ht="27" customHeight="1" x14ac:dyDescent="0.3">
      <c r="B44" s="2" t="s">
        <v>265</v>
      </c>
      <c r="C44">
        <v>10395</v>
      </c>
    </row>
    <row r="45" spans="2:3" ht="27" customHeight="1" x14ac:dyDescent="0.3">
      <c r="B45" s="2" t="s">
        <v>256</v>
      </c>
      <c r="C45">
        <v>10352</v>
      </c>
    </row>
    <row r="46" spans="2:3" ht="27" customHeight="1" x14ac:dyDescent="0.3">
      <c r="B46" s="2" t="s">
        <v>307</v>
      </c>
      <c r="C46">
        <v>10028</v>
      </c>
    </row>
    <row r="47" spans="2:3" ht="27" customHeight="1" x14ac:dyDescent="0.3">
      <c r="B47" s="2" t="s">
        <v>300</v>
      </c>
      <c r="C47">
        <v>9989</v>
      </c>
    </row>
    <row r="48" spans="2:3" ht="27" customHeight="1" x14ac:dyDescent="0.3">
      <c r="B48" s="2" t="s">
        <v>49</v>
      </c>
      <c r="C48">
        <v>9839</v>
      </c>
    </row>
    <row r="49" spans="2:3" ht="27" customHeight="1" x14ac:dyDescent="0.3">
      <c r="B49" s="2" t="s">
        <v>292</v>
      </c>
      <c r="C49">
        <v>9505</v>
      </c>
    </row>
    <row r="50" spans="2:3" ht="27" customHeight="1" x14ac:dyDescent="0.3">
      <c r="B50" s="2" t="s">
        <v>325</v>
      </c>
      <c r="C50">
        <v>8977</v>
      </c>
    </row>
    <row r="51" spans="2:3" ht="27" customHeight="1" x14ac:dyDescent="0.3">
      <c r="B51" s="2" t="s">
        <v>305</v>
      </c>
      <c r="C51">
        <v>8876.3700000000008</v>
      </c>
    </row>
    <row r="52" spans="2:3" ht="27" customHeight="1" x14ac:dyDescent="0.3">
      <c r="B52" s="2" t="s">
        <v>291</v>
      </c>
      <c r="C52">
        <v>8577.2000000000007</v>
      </c>
    </row>
    <row r="53" spans="2:3" ht="27" customHeight="1" x14ac:dyDescent="0.3">
      <c r="B53" s="2" t="s">
        <v>257</v>
      </c>
      <c r="C53">
        <v>8278</v>
      </c>
    </row>
    <row r="54" spans="2:3" ht="27" customHeight="1" x14ac:dyDescent="0.3">
      <c r="B54" s="2" t="s">
        <v>290</v>
      </c>
      <c r="C54">
        <v>8085</v>
      </c>
    </row>
    <row r="55" spans="2:3" ht="27" customHeight="1" x14ac:dyDescent="0.3">
      <c r="B55" s="2" t="s">
        <v>288</v>
      </c>
      <c r="C55">
        <v>7799</v>
      </c>
    </row>
    <row r="56" spans="2:3" ht="27" customHeight="1" x14ac:dyDescent="0.3">
      <c r="B56" s="2" t="s">
        <v>266</v>
      </c>
      <c r="C56">
        <v>7445</v>
      </c>
    </row>
    <row r="57" spans="2:3" ht="27" customHeight="1" x14ac:dyDescent="0.3">
      <c r="B57" s="2" t="s">
        <v>287</v>
      </c>
      <c r="C57">
        <v>7302.14</v>
      </c>
    </row>
    <row r="58" spans="2:3" ht="27" customHeight="1" x14ac:dyDescent="0.3">
      <c r="B58" s="2" t="s">
        <v>313</v>
      </c>
      <c r="C58">
        <v>7000.34</v>
      </c>
    </row>
    <row r="59" spans="2:3" ht="27" customHeight="1" x14ac:dyDescent="0.3">
      <c r="B59" s="2" t="s">
        <v>113</v>
      </c>
      <c r="C59">
        <v>6987</v>
      </c>
    </row>
    <row r="60" spans="2:3" ht="27" customHeight="1" x14ac:dyDescent="0.3">
      <c r="B60" s="2" t="s">
        <v>293</v>
      </c>
      <c r="C60">
        <v>6349.88</v>
      </c>
    </row>
    <row r="61" spans="2:3" ht="27" customHeight="1" x14ac:dyDescent="0.3">
      <c r="B61" s="2" t="s">
        <v>301</v>
      </c>
      <c r="C61">
        <v>6083</v>
      </c>
    </row>
    <row r="62" spans="2:3" ht="27" customHeight="1" x14ac:dyDescent="0.3">
      <c r="B62" s="2" t="s">
        <v>298</v>
      </c>
      <c r="C62">
        <v>2101</v>
      </c>
    </row>
    <row r="63" spans="2:3" ht="27" customHeight="1" x14ac:dyDescent="0.3">
      <c r="B63" s="2" t="s">
        <v>7</v>
      </c>
      <c r="C63">
        <v>827614.29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E32" zoomScaleNormal="100" workbookViewId="0">
      <selection activeCell="M55" sqref="M55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27</v>
      </c>
      <c r="F5" s="9" t="s">
        <v>28</v>
      </c>
      <c r="G5" s="9" t="s">
        <v>185</v>
      </c>
      <c r="H5" s="9" t="s">
        <v>186</v>
      </c>
      <c r="I5" s="9" t="s">
        <v>187</v>
      </c>
      <c r="J5" s="9" t="s">
        <v>188</v>
      </c>
      <c r="K5" s="9" t="s">
        <v>189</v>
      </c>
      <c r="L5" s="9" t="s">
        <v>177</v>
      </c>
      <c r="M5" s="9" t="s">
        <v>190</v>
      </c>
      <c r="N5" s="9" t="s">
        <v>191</v>
      </c>
      <c r="O5" s="9" t="s">
        <v>192</v>
      </c>
      <c r="P5" s="9" t="s">
        <v>193</v>
      </c>
      <c r="Q5" s="9" t="s">
        <v>194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Chart]]="X",PerfPowerST[[#This Row],[ExcludeHere]]="X",ISBLANK(GeneralTable[[#This Row],[Cons. CB23ST]])),NA(),GeneralTable[[#This Row],[Cons. CB23ST]]),NA())</f>
        <v>2101</v>
      </c>
      <c r="F97" s="12">
        <f>IFERROR(IF(OR(GeneralTable[[#This Row],[Exclude From Chart]]="X",PerfPowerST[[#This Row],[ExcludeHere]]="X",ISBLANK(GeneralTable[[#This Row],[Cons. CB23ST]])),NA(),GeneralTable[[#This Row],[Dur. CB23ST]]),NA())</f>
        <v>553</v>
      </c>
      <c r="G97" s="16">
        <f>1000000000/50/PerfPowerST[[#This Row],[Cons. ST]]</f>
        <v>9519.2765349833408</v>
      </c>
      <c r="H97" s="16">
        <f>1000000000/100/PerfPowerST[[#This Row],[Cons. ST]]</f>
        <v>4759.6382674916704</v>
      </c>
      <c r="I97" s="16">
        <f>1000000000/200/PerfPowerST[[#This Row],[Cons. ST]]</f>
        <v>2379.8191337458352</v>
      </c>
      <c r="J97" s="16">
        <f>1000000000/300/PerfPowerST[[#This Row],[Cons. ST]]</f>
        <v>1586.5460891638902</v>
      </c>
      <c r="K97" s="16">
        <f>1000000000/400/PerfPowerST[[#This Row],[Cons. ST]]</f>
        <v>1189.9095668729176</v>
      </c>
      <c r="L97" s="16">
        <f>1000000000/500/PerfPowerST[[#This Row],[Cons. ST]]</f>
        <v>951.92765349833417</v>
      </c>
      <c r="M97" s="16">
        <f>1000000000/600/PerfPowerST[[#This Row],[Cons. ST]]</f>
        <v>793.2730445819451</v>
      </c>
      <c r="N97" s="16">
        <f>1000000000/700/PerfPowerST[[#This Row],[Cons. ST]]</f>
        <v>679.94832392738158</v>
      </c>
      <c r="O97" s="16">
        <f>1000000000/800/PerfPowerST[[#This Row],[Cons. ST]]</f>
        <v>594.9547834364588</v>
      </c>
      <c r="P97" s="16">
        <f>1000000000/900/PerfPowerST[[#This Row],[Cons. ST]]</f>
        <v>528.8486963879634</v>
      </c>
      <c r="Q97" s="16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Chart]]="X",PerfPowerST[[#This Row],[ExcludeHere]]="X",ISBLANK(GeneralTable[[#This Row],[Cons. CB23ST]])),NA(),GeneralTable[[#This Row],[Cons. CB23ST]]),NA())</f>
        <v>6083</v>
      </c>
      <c r="F100" s="12">
        <f>IFERROR(IF(OR(GeneralTable[[#This Row],[Exclude From Chart]]="X",PerfPowerST[[#This Row],[ExcludeHere]]="X",ISBLANK(GeneralTable[[#This Row],[Cons. CB23ST]])),NA(),GeneralTable[[#This Row],[Dur. CB23ST]]),NA())</f>
        <v>553</v>
      </c>
      <c r="G100" s="16">
        <f>1000000000/50/PerfPowerST[[#This Row],[Cons. ST]]</f>
        <v>3287.851389117212</v>
      </c>
      <c r="H100" s="16">
        <f>1000000000/100/PerfPowerST[[#This Row],[Cons. ST]]</f>
        <v>1643.925694558606</v>
      </c>
      <c r="I100" s="16">
        <f>1000000000/200/PerfPowerST[[#This Row],[Cons. ST]]</f>
        <v>821.96284727930299</v>
      </c>
      <c r="J100" s="16">
        <f>1000000000/300/PerfPowerST[[#This Row],[Cons. ST]]</f>
        <v>547.97523151953533</v>
      </c>
      <c r="K100" s="16">
        <f>1000000000/400/PerfPowerST[[#This Row],[Cons. ST]]</f>
        <v>410.9814236396515</v>
      </c>
      <c r="L100" s="16">
        <f>1000000000/500/PerfPowerST[[#This Row],[Cons. ST]]</f>
        <v>328.78513891172116</v>
      </c>
      <c r="M100" s="16">
        <f>1000000000/600/PerfPowerST[[#This Row],[Cons. ST]]</f>
        <v>273.98761575976766</v>
      </c>
      <c r="N100" s="16">
        <f>1000000000/700/PerfPowerST[[#This Row],[Cons. ST]]</f>
        <v>234.84652779408657</v>
      </c>
      <c r="O100" s="16">
        <f>1000000000/800/PerfPowerST[[#This Row],[Cons. ST]]</f>
        <v>205.49071181982575</v>
      </c>
      <c r="P100" s="16">
        <f>1000000000/900/PerfPowerST[[#This Row],[Cons. ST]]</f>
        <v>182.65841050651176</v>
      </c>
      <c r="Q100" s="16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Chart]]="X",PerfPowerST[[#This Row],[ExcludeHere]]="X",ISBLANK(GeneralTable[[#This Row],[Cons. CB23ST]])),NA(),GeneralTable[[#This Row],[Cons. CB23ST]]),NA())</f>
        <v>16888</v>
      </c>
      <c r="F104" s="12">
        <f>IFERROR(IF(OR(GeneralTable[[#This Row],[Exclude From Chart]]="X",PerfPowerST[[#This Row],[ExcludeHere]]="X",ISBLANK(GeneralTable[[#This Row],[Cons. CB23ST]])),NA(),GeneralTable[[#This Row],[Dur. CB23ST]]),NA())</f>
        <v>406.52</v>
      </c>
      <c r="G104" s="16">
        <f>1000000000/50/PerfPowerST[[#This Row],[Cons. ST]]</f>
        <v>1184.2728564661297</v>
      </c>
      <c r="H104" s="16">
        <f>1000000000/100/PerfPowerST[[#This Row],[Cons. ST]]</f>
        <v>592.13642823306486</v>
      </c>
      <c r="I104" s="16">
        <f>1000000000/200/PerfPowerST[[#This Row],[Cons. ST]]</f>
        <v>296.06821411653243</v>
      </c>
      <c r="J104" s="16">
        <f>1000000000/300/PerfPowerST[[#This Row],[Cons. ST]]</f>
        <v>197.37880941102165</v>
      </c>
      <c r="K104" s="16">
        <f>1000000000/400/PerfPowerST[[#This Row],[Cons. ST]]</f>
        <v>148.03410705826622</v>
      </c>
      <c r="L104" s="16">
        <f>1000000000/500/PerfPowerST[[#This Row],[Cons. ST]]</f>
        <v>118.42728564661299</v>
      </c>
      <c r="M104" s="16">
        <f>1000000000/600/PerfPowerST[[#This Row],[Cons. ST]]</f>
        <v>98.689404705510825</v>
      </c>
      <c r="N104" s="16">
        <f>1000000000/700/PerfPowerST[[#This Row],[Cons. ST]]</f>
        <v>84.590918319009276</v>
      </c>
      <c r="O104" s="16">
        <f>1000000000/800/PerfPowerST[[#This Row],[Cons. ST]]</f>
        <v>74.017053529133108</v>
      </c>
      <c r="P104" s="16">
        <f>1000000000/900/PerfPowerST[[#This Row],[Cons. ST]]</f>
        <v>65.792936470340535</v>
      </c>
      <c r="Q104" s="16">
        <f>1000000000/1000/PerfPowerST[[#This Row],[Cons. ST]]</f>
        <v>59.213642823306493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Chart]]="X",PerfPowerST[[#This Row],[ExcludeHere]]="X",ISBLANK(GeneralTable[[#This Row],[Cons. CB23ST]])),NA(),GeneralTable[[#This Row],[Cons. CB23ST]]),NA())</f>
        <v>21271</v>
      </c>
      <c r="F115" s="12">
        <f>IFERROR(IF(OR(GeneralTable[[#This Row],[Exclude From Chart]]="X",PerfPowerST[[#This Row],[ExcludeHere]]="X",ISBLANK(GeneralTable[[#This Row],[Cons. CB23ST]])),NA(),GeneralTable[[#This Row],[Dur. CB23ST]]),NA())</f>
        <v>400.87</v>
      </c>
      <c r="G115" s="16">
        <f>1000000000/50/PerfPowerST[[#This Row],[Cons. ST]]</f>
        <v>940.24728503596441</v>
      </c>
      <c r="H115" s="16">
        <f>1000000000/100/PerfPowerST[[#This Row],[Cons. ST]]</f>
        <v>470.1236425179822</v>
      </c>
      <c r="I115" s="16">
        <f>1000000000/200/PerfPowerST[[#This Row],[Cons. ST]]</f>
        <v>235.0618212589911</v>
      </c>
      <c r="J115" s="16">
        <f>1000000000/300/PerfPowerST[[#This Row],[Cons. ST]]</f>
        <v>156.70788083932743</v>
      </c>
      <c r="K115" s="16">
        <f>1000000000/400/PerfPowerST[[#This Row],[Cons. ST]]</f>
        <v>117.53091062949555</v>
      </c>
      <c r="L115" s="16">
        <f>1000000000/500/PerfPowerST[[#This Row],[Cons. ST]]</f>
        <v>94.02472850359645</v>
      </c>
      <c r="M115" s="16">
        <f>1000000000/600/PerfPowerST[[#This Row],[Cons. ST]]</f>
        <v>78.353940419663715</v>
      </c>
      <c r="N115" s="16">
        <f>1000000000/700/PerfPowerST[[#This Row],[Cons. ST]]</f>
        <v>67.160520359711754</v>
      </c>
      <c r="O115" s="16">
        <f>1000000000/800/PerfPowerST[[#This Row],[Cons. ST]]</f>
        <v>58.765455314747776</v>
      </c>
      <c r="P115" s="16">
        <f>1000000000/900/PerfPowerST[[#This Row],[Cons. ST]]</f>
        <v>52.235960279775796</v>
      </c>
      <c r="Q115" s="16">
        <f>1000000000/1000/PerfPowerST[[#This Row],[Cons. ST]]</f>
        <v>47.012364251798225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Chart]]="X",PerfPowerST[[#This Row],[ExcludeHere]]="X",ISBLANK(GeneralTable[[#This Row],[Cons. CB23ST]])),NA(),GeneralTable[[#This Row],[Cons. CB23ST]]),NA())</f>
        <v>7000.34</v>
      </c>
      <c r="F116" s="12">
        <f>IFERROR(IF(OR(GeneralTable[[#This Row],[Exclude From Chart]]="X",PerfPowerST[[#This Row],[ExcludeHere]]="X",ISBLANK(GeneralTable[[#This Row],[Cons. CB23ST]])),NA(),GeneralTable[[#This Row],[Dur. CB23ST]]),NA())</f>
        <v>582.69000000000005</v>
      </c>
      <c r="G116" s="16">
        <f>1000000000/50/PerfPowerST[[#This Row],[Cons. ST]]</f>
        <v>2857.0040883728502</v>
      </c>
      <c r="H116" s="16">
        <f>1000000000/100/PerfPowerST[[#This Row],[Cons. ST]]</f>
        <v>1428.5020441864251</v>
      </c>
      <c r="I116" s="16">
        <f>1000000000/200/PerfPowerST[[#This Row],[Cons. ST]]</f>
        <v>714.25102209321255</v>
      </c>
      <c r="J116" s="16">
        <f>1000000000/300/PerfPowerST[[#This Row],[Cons. ST]]</f>
        <v>476.16734806214174</v>
      </c>
      <c r="K116" s="16">
        <f>1000000000/400/PerfPowerST[[#This Row],[Cons. ST]]</f>
        <v>357.12551104660628</v>
      </c>
      <c r="L116" s="16">
        <f>1000000000/500/PerfPowerST[[#This Row],[Cons. ST]]</f>
        <v>285.70040883728507</v>
      </c>
      <c r="M116" s="16">
        <f>1000000000/600/PerfPowerST[[#This Row],[Cons. ST]]</f>
        <v>238.08367403107087</v>
      </c>
      <c r="N116" s="16">
        <f>1000000000/700/PerfPowerST[[#This Row],[Cons. ST]]</f>
        <v>204.07172059806075</v>
      </c>
      <c r="O116" s="16">
        <f>1000000000/800/PerfPowerST[[#This Row],[Cons. ST]]</f>
        <v>178.56275552330314</v>
      </c>
      <c r="P116" s="16">
        <f>1000000000/900/PerfPowerST[[#This Row],[Cons. ST]]</f>
        <v>158.72244935404723</v>
      </c>
      <c r="Q116" s="16">
        <f>1000000000/1000/PerfPowerST[[#This Row],[Cons. ST]]</f>
        <v>142.85020441864253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Chart]]="X",PerfPowerST[[#This Row],[ExcludeHere]]="X",ISBLANK(GeneralTable[[#This Row],[Cons. CB23ST]])),NA(),GeneralTable[[#This Row],[Cons. CB23ST]]),NA())</f>
        <v>19138.57</v>
      </c>
      <c r="F117" s="12">
        <f>IFERROR(IF(OR(GeneralTable[[#This Row],[Exclude From Chart]]="X",PerfPowerST[[#This Row],[ExcludeHere]]="X",ISBLANK(GeneralTable[[#This Row],[Cons. CB23ST]])),NA(),GeneralTable[[#This Row],[Dur. CB23ST]]),NA())</f>
        <v>375.18</v>
      </c>
      <c r="G117" s="16">
        <f>1000000000/50/PerfPowerST[[#This Row],[Cons. ST]]</f>
        <v>1045.0101548861801</v>
      </c>
      <c r="H117" s="16">
        <f>1000000000/100/PerfPowerST[[#This Row],[Cons. ST]]</f>
        <v>522.50507744309004</v>
      </c>
      <c r="I117" s="16">
        <f>1000000000/200/PerfPowerST[[#This Row],[Cons. ST]]</f>
        <v>261.25253872154502</v>
      </c>
      <c r="J117" s="16">
        <f>1000000000/300/PerfPowerST[[#This Row],[Cons. ST]]</f>
        <v>174.16835914769669</v>
      </c>
      <c r="K117" s="16">
        <f>1000000000/400/PerfPowerST[[#This Row],[Cons. ST]]</f>
        <v>130.62626936077251</v>
      </c>
      <c r="L117" s="16">
        <f>1000000000/500/PerfPowerST[[#This Row],[Cons. ST]]</f>
        <v>104.50101548861801</v>
      </c>
      <c r="M117" s="16">
        <f>1000000000/600/PerfPowerST[[#This Row],[Cons. ST]]</f>
        <v>87.084179573848346</v>
      </c>
      <c r="N117" s="16">
        <f>1000000000/700/PerfPowerST[[#This Row],[Cons. ST]]</f>
        <v>74.643582491870006</v>
      </c>
      <c r="O117" s="16">
        <f>1000000000/800/PerfPowerST[[#This Row],[Cons. ST]]</f>
        <v>65.313134680386256</v>
      </c>
      <c r="P117" s="16">
        <f>1000000000/900/PerfPowerST[[#This Row],[Cons. ST]]</f>
        <v>58.056119715898888</v>
      </c>
      <c r="Q117" s="16">
        <f>1000000000/1000/PerfPowerST[[#This Row],[Cons. ST]]</f>
        <v>52.250507744309004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Chart]]="X",PerfPowerST[[#This Row],[ExcludeHere]]="X",ISBLANK(GeneralTable[[#This Row],[Cons. CB23ST]])),NA(),GeneralTable[[#This Row],[Cons. CB23ST]]),NA())</f>
        <v>14623</v>
      </c>
      <c r="F122" s="12">
        <f>IFERROR(IF(OR(GeneralTable[[#This Row],[Exclude From Chart]]="X",PerfPowerST[[#This Row],[ExcludeHere]]="X",ISBLANK(GeneralTable[[#This Row],[Cons. CB23ST]])),NA(),GeneralTable[[#This Row],[Dur. CB23ST]]),NA())</f>
        <v>358.08</v>
      </c>
      <c r="G122" s="16">
        <f>1000000000/50/PerfPowerST[[#This Row],[Cons. ST]]</f>
        <v>1367.7084045681461</v>
      </c>
      <c r="H122" s="16">
        <f>1000000000/100/PerfPowerST[[#This Row],[Cons. ST]]</f>
        <v>683.85420228407304</v>
      </c>
      <c r="I122" s="16">
        <f>1000000000/200/PerfPowerST[[#This Row],[Cons. ST]]</f>
        <v>341.92710114203652</v>
      </c>
      <c r="J122" s="16">
        <f>1000000000/300/PerfPowerST[[#This Row],[Cons. ST]]</f>
        <v>227.95140076135769</v>
      </c>
      <c r="K122" s="16">
        <f>1000000000/400/PerfPowerST[[#This Row],[Cons. ST]]</f>
        <v>170.96355057101826</v>
      </c>
      <c r="L122" s="16">
        <f>1000000000/500/PerfPowerST[[#This Row],[Cons. ST]]</f>
        <v>136.7708404568146</v>
      </c>
      <c r="M122" s="16">
        <f>1000000000/600/PerfPowerST[[#This Row],[Cons. ST]]</f>
        <v>113.97570038067884</v>
      </c>
      <c r="N122" s="16">
        <f>1000000000/700/PerfPowerST[[#This Row],[Cons. ST]]</f>
        <v>97.693457469153302</v>
      </c>
      <c r="O122" s="16">
        <f>1000000000/800/PerfPowerST[[#This Row],[Cons. ST]]</f>
        <v>85.48177528550913</v>
      </c>
      <c r="P122" s="16">
        <f>1000000000/900/PerfPowerST[[#This Row],[Cons. ST]]</f>
        <v>75.983800253785887</v>
      </c>
      <c r="Q122" s="16">
        <f>1000000000/1000/PerfPowerST[[#This Row],[Cons. ST]]</f>
        <v>68.385420228407298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Chart]]="X",PerfPowerST[[#This Row],[ExcludeHere]]="X",ISBLANK(GeneralTable[[#This Row],[Cons. CB23ST]])),NA(),GeneralTable[[#This Row],[Cons. CB23ST]]),NA())</f>
        <v>14127</v>
      </c>
      <c r="F123" s="12">
        <f>IFERROR(IF(OR(GeneralTable[[#This Row],[Exclude From Chart]]="X",PerfPowerST[[#This Row],[ExcludeHere]]="X",ISBLANK(GeneralTable[[#This Row],[Cons. CB23ST]])),NA(),GeneralTable[[#This Row],[Dur. CB23ST]]),NA())</f>
        <v>360.55</v>
      </c>
      <c r="G123" s="16">
        <f>1000000000/50/PerfPowerST[[#This Row],[Cons. ST]]</f>
        <v>1415.728746372195</v>
      </c>
      <c r="H123" s="16">
        <f>1000000000/100/PerfPowerST[[#This Row],[Cons. ST]]</f>
        <v>707.86437318609751</v>
      </c>
      <c r="I123" s="16">
        <f>1000000000/200/PerfPowerST[[#This Row],[Cons. ST]]</f>
        <v>353.93218659304875</v>
      </c>
      <c r="J123" s="16">
        <f>1000000000/300/PerfPowerST[[#This Row],[Cons. ST]]</f>
        <v>235.95479106203251</v>
      </c>
      <c r="K123" s="16">
        <f>1000000000/400/PerfPowerST[[#This Row],[Cons. ST]]</f>
        <v>176.96609329652438</v>
      </c>
      <c r="L123" s="16">
        <f>1000000000/500/PerfPowerST[[#This Row],[Cons. ST]]</f>
        <v>141.57287463721951</v>
      </c>
      <c r="M123" s="16">
        <f>1000000000/600/PerfPowerST[[#This Row],[Cons. ST]]</f>
        <v>117.97739553101626</v>
      </c>
      <c r="N123" s="16">
        <f>1000000000/700/PerfPowerST[[#This Row],[Cons. ST]]</f>
        <v>101.12348188372823</v>
      </c>
      <c r="O123" s="16">
        <f>1000000000/800/PerfPowerST[[#This Row],[Cons. ST]]</f>
        <v>88.483046648262189</v>
      </c>
      <c r="P123" s="16">
        <f>1000000000/900/PerfPowerST[[#This Row],[Cons. ST]]</f>
        <v>78.651597020677499</v>
      </c>
      <c r="Q123" s="16">
        <f>1000000000/1000/PerfPowerST[[#This Row],[Cons. ST]]</f>
        <v>70.786437318609757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Chart]]="X",PerfPowerST[[#This Row],[ExcludeHere]]="X",ISBLANK(GeneralTable[[#This Row],[Cons. CB23ST]])),NA(),GeneralTable[[#This Row],[Cons. CB23ST]]),NA())</f>
        <v>13798</v>
      </c>
      <c r="F124" s="12">
        <f>IFERROR(IF(OR(GeneralTable[[#This Row],[Exclude From Chart]]="X",PerfPowerST[[#This Row],[ExcludeHere]]="X",ISBLANK(GeneralTable[[#This Row],[Cons. CB23ST]])),NA(),GeneralTable[[#This Row],[Dur. CB23ST]]),NA())</f>
        <v>359.34</v>
      </c>
      <c r="G124" s="16">
        <f>1000000000/50/PerfPowerST[[#This Row],[Cons. ST]]</f>
        <v>1449.4854326714017</v>
      </c>
      <c r="H124" s="16">
        <f>1000000000/100/PerfPowerST[[#This Row],[Cons. ST]]</f>
        <v>724.74271633570083</v>
      </c>
      <c r="I124" s="16">
        <f>1000000000/200/PerfPowerST[[#This Row],[Cons. ST]]</f>
        <v>362.37135816785042</v>
      </c>
      <c r="J124" s="16">
        <f>1000000000/300/PerfPowerST[[#This Row],[Cons. ST]]</f>
        <v>241.58090544523361</v>
      </c>
      <c r="K124" s="16">
        <f>1000000000/400/PerfPowerST[[#This Row],[Cons. ST]]</f>
        <v>181.18567908392521</v>
      </c>
      <c r="L124" s="16">
        <f>1000000000/500/PerfPowerST[[#This Row],[Cons. ST]]</f>
        <v>144.94854326714017</v>
      </c>
      <c r="M124" s="16">
        <f>1000000000/600/PerfPowerST[[#This Row],[Cons. ST]]</f>
        <v>120.79045272261681</v>
      </c>
      <c r="N124" s="16">
        <f>1000000000/700/PerfPowerST[[#This Row],[Cons. ST]]</f>
        <v>103.53467376224297</v>
      </c>
      <c r="O124" s="16">
        <f>1000000000/800/PerfPowerST[[#This Row],[Cons. ST]]</f>
        <v>90.592839541962604</v>
      </c>
      <c r="P124" s="16">
        <f>1000000000/900/PerfPowerST[[#This Row],[Cons. ST]]</f>
        <v>80.526968481744532</v>
      </c>
      <c r="Q124" s="16">
        <f>1000000000/1000/PerfPowerST[[#This Row],[Cons. ST]]</f>
        <v>72.474271633570083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Chart]]="X",PerfPowerST[[#This Row],[ExcludeHere]]="X",ISBLANK(GeneralTable[[#This Row],[Cons. CB23ST]])),NA(),GeneralTable[[#This Row],[Cons. CB23ST]]),NA())</f>
        <v>10863.79</v>
      </c>
      <c r="F125" s="12">
        <f>IFERROR(IF(OR(GeneralTable[[#This Row],[Exclude From Chart]]="X",PerfPowerST[[#This Row],[ExcludeHere]]="X",ISBLANK(GeneralTable[[#This Row],[Cons. CB23ST]])),NA(),GeneralTable[[#This Row],[Dur. CB23ST]]),NA())</f>
        <v>551.25</v>
      </c>
      <c r="G125" s="16">
        <f>1000000000/50/PerfPowerST[[#This Row],[Cons. ST]]</f>
        <v>1840.9781485098661</v>
      </c>
      <c r="H125" s="16">
        <f>1000000000/100/PerfPowerST[[#This Row],[Cons. ST]]</f>
        <v>920.48907425493303</v>
      </c>
      <c r="I125" s="16">
        <f>1000000000/200/PerfPowerST[[#This Row],[Cons. ST]]</f>
        <v>460.24453712746651</v>
      </c>
      <c r="J125" s="16">
        <f>1000000000/300/PerfPowerST[[#This Row],[Cons. ST]]</f>
        <v>306.82969141831103</v>
      </c>
      <c r="K125" s="16">
        <f>1000000000/400/PerfPowerST[[#This Row],[Cons. ST]]</f>
        <v>230.12226856373326</v>
      </c>
      <c r="L125" s="16">
        <f>1000000000/500/PerfPowerST[[#This Row],[Cons. ST]]</f>
        <v>184.09781485098662</v>
      </c>
      <c r="M125" s="16">
        <f>1000000000/600/PerfPowerST[[#This Row],[Cons. ST]]</f>
        <v>153.41484570915551</v>
      </c>
      <c r="N125" s="16">
        <f>1000000000/700/PerfPowerST[[#This Row],[Cons. ST]]</f>
        <v>131.49843917927615</v>
      </c>
      <c r="O125" s="16">
        <f>1000000000/800/PerfPowerST[[#This Row],[Cons. ST]]</f>
        <v>115.06113428186663</v>
      </c>
      <c r="P125" s="16">
        <f>1000000000/900/PerfPowerST[[#This Row],[Cons. ST]]</f>
        <v>102.27656380610367</v>
      </c>
      <c r="Q125" s="16">
        <f>1000000000/1000/PerfPowerST[[#This Row],[Cons. ST]]</f>
        <v>92.048907425493312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Chart]]="X",PerfPowerST[[#This Row],[ExcludeHere]]="X",ISBLANK(GeneralTable[[#This Row],[Cons. CB23ST]])),NA(),GeneralTable[[#This Row],[Cons. CB23ST]]),NA())</f>
        <v>8885.26</v>
      </c>
      <c r="F130" s="12">
        <f>IFERROR(IF(OR(GeneralTable[[#This Row],[Exclude From Chart]]="X",PerfPowerST[[#This Row],[ExcludeHere]]="X",ISBLANK(GeneralTable[[#This Row],[Cons. CB23ST]])),NA(),GeneralTable[[#This Row],[Dur. CB23ST]]),NA())</f>
        <v>499.88</v>
      </c>
      <c r="G130" s="16">
        <f>1000000000/50/PerfPowerST[[#This Row],[Cons. ST]]</f>
        <v>2250.9189376562981</v>
      </c>
      <c r="H130" s="16">
        <f>1000000000/100/PerfPowerST[[#This Row],[Cons. ST]]</f>
        <v>1125.4594688281491</v>
      </c>
      <c r="I130" s="16">
        <f>1000000000/200/PerfPowerST[[#This Row],[Cons. ST]]</f>
        <v>562.72973441407453</v>
      </c>
      <c r="J130" s="16">
        <f>1000000000/300/PerfPowerST[[#This Row],[Cons. ST]]</f>
        <v>375.15315627604969</v>
      </c>
      <c r="K130" s="16">
        <f>1000000000/400/PerfPowerST[[#This Row],[Cons. ST]]</f>
        <v>281.36486720703726</v>
      </c>
      <c r="L130" s="16">
        <f>1000000000/500/PerfPowerST[[#This Row],[Cons. ST]]</f>
        <v>225.09189376562981</v>
      </c>
      <c r="M130" s="16">
        <f>1000000000/600/PerfPowerST[[#This Row],[Cons. ST]]</f>
        <v>187.57657813802484</v>
      </c>
      <c r="N130" s="16">
        <f>1000000000/700/PerfPowerST[[#This Row],[Cons. ST]]</f>
        <v>160.77992411830701</v>
      </c>
      <c r="O130" s="16">
        <f>1000000000/800/PerfPowerST[[#This Row],[Cons. ST]]</f>
        <v>140.68243360351863</v>
      </c>
      <c r="P130" s="16">
        <f>1000000000/900/PerfPowerST[[#This Row],[Cons. ST]]</f>
        <v>125.05105209201655</v>
      </c>
      <c r="Q130" s="16">
        <f>1000000000/1000/PerfPowerST[[#This Row],[Cons. ST]]</f>
        <v>112.5459468828149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Chart]]="X",PerfPowerST[[#This Row],[ExcludeHere]]="X",ISBLANK(GeneralTable[[#This Row],[Cons. CB23ST]])),NA(),GeneralTable[[#This Row],[Cons. CB23ST]]),NA())</f>
        <v>11669</v>
      </c>
      <c r="F138" s="12">
        <f>IFERROR(IF(OR(GeneralTable[[#This Row],[Exclude From Chart]]="X",PerfPowerST[[#This Row],[ExcludeHere]]="X",ISBLANK(GeneralTable[[#This Row],[Cons. CB23ST]])),NA(),GeneralTable[[#This Row],[Dur. CB23ST]]),NA())</f>
        <v>458.11</v>
      </c>
      <c r="G138" s="16">
        <f>1000000000/50/PerfPowerST[[#This Row],[Cons. ST]]</f>
        <v>1713.9429257005743</v>
      </c>
      <c r="H138" s="16">
        <f>1000000000/100/PerfPowerST[[#This Row],[Cons. ST]]</f>
        <v>856.97146285028714</v>
      </c>
      <c r="I138" s="16">
        <f>1000000000/200/PerfPowerST[[#This Row],[Cons. ST]]</f>
        <v>428.48573142514357</v>
      </c>
      <c r="J138" s="16">
        <f>1000000000/300/PerfPowerST[[#This Row],[Cons. ST]]</f>
        <v>285.65715428342907</v>
      </c>
      <c r="K138" s="16">
        <f>1000000000/400/PerfPowerST[[#This Row],[Cons. ST]]</f>
        <v>214.24286571257178</v>
      </c>
      <c r="L138" s="16">
        <f>1000000000/500/PerfPowerST[[#This Row],[Cons. ST]]</f>
        <v>171.39429257005742</v>
      </c>
      <c r="M138" s="16">
        <f>1000000000/600/PerfPowerST[[#This Row],[Cons. ST]]</f>
        <v>142.82857714171453</v>
      </c>
      <c r="N138" s="16">
        <f>1000000000/700/PerfPowerST[[#This Row],[Cons. ST]]</f>
        <v>122.42449469289816</v>
      </c>
      <c r="O138" s="16">
        <f>1000000000/800/PerfPowerST[[#This Row],[Cons. ST]]</f>
        <v>107.12143285628589</v>
      </c>
      <c r="P138" s="16">
        <f>1000000000/900/PerfPowerST[[#This Row],[Cons. ST]]</f>
        <v>95.219051427809674</v>
      </c>
      <c r="Q138" s="16">
        <f>1000000000/1000/PerfPowerST[[#This Row],[Cons. ST]]</f>
        <v>85.697146285028708</v>
      </c>
    </row>
    <row r="139" spans="2:17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0" s="16" t="e">
        <f>1000000000/50/PerfPowerST[[#This Row],[Cons. ST]]</f>
        <v>#N/A</v>
      </c>
      <c r="H140" s="16" t="e">
        <f>1000000000/100/PerfPowerST[[#This Row],[Cons. ST]]</f>
        <v>#N/A</v>
      </c>
      <c r="I140" s="16" t="e">
        <f>1000000000/200/PerfPowerST[[#This Row],[Cons. ST]]</f>
        <v>#N/A</v>
      </c>
      <c r="J140" s="16" t="e">
        <f>1000000000/300/PerfPowerST[[#This Row],[Cons. ST]]</f>
        <v>#N/A</v>
      </c>
      <c r="K140" s="16" t="e">
        <f>1000000000/400/PerfPowerST[[#This Row],[Cons. ST]]</f>
        <v>#N/A</v>
      </c>
      <c r="L140" s="16" t="e">
        <f>1000000000/500/PerfPowerST[[#This Row],[Cons. ST]]</f>
        <v>#N/A</v>
      </c>
      <c r="M140" s="16" t="e">
        <f>1000000000/600/PerfPowerST[[#This Row],[Cons. ST]]</f>
        <v>#N/A</v>
      </c>
      <c r="N140" s="16" t="e">
        <f>1000000000/700/PerfPowerST[[#This Row],[Cons. ST]]</f>
        <v>#N/A</v>
      </c>
      <c r="O140" s="16" t="e">
        <f>1000000000/800/PerfPowerST[[#This Row],[Cons. ST]]</f>
        <v>#N/A</v>
      </c>
      <c r="P140" s="16" t="e">
        <f>1000000000/900/PerfPowerST[[#This Row],[Cons. ST]]</f>
        <v>#N/A</v>
      </c>
      <c r="Q140" s="16" t="e">
        <f>1000000000/1000/PerfPowerST[[#This Row],[Cons. ST]]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2" s="16" t="e">
        <f>1000000000/50/PerfPowerST[[#This Row],[Cons. ST]]</f>
        <v>#N/A</v>
      </c>
      <c r="H142" s="16" t="e">
        <f>1000000000/100/PerfPowerST[[#This Row],[Cons. ST]]</f>
        <v>#N/A</v>
      </c>
      <c r="I142" s="16" t="e">
        <f>1000000000/200/PerfPowerST[[#This Row],[Cons. ST]]</f>
        <v>#N/A</v>
      </c>
      <c r="J142" s="16" t="e">
        <f>1000000000/300/PerfPowerST[[#This Row],[Cons. ST]]</f>
        <v>#N/A</v>
      </c>
      <c r="K142" s="16" t="e">
        <f>1000000000/400/PerfPowerST[[#This Row],[Cons. ST]]</f>
        <v>#N/A</v>
      </c>
      <c r="L142" s="16" t="e">
        <f>1000000000/500/PerfPowerST[[#This Row],[Cons. ST]]</f>
        <v>#N/A</v>
      </c>
      <c r="M142" s="16" t="e">
        <f>1000000000/600/PerfPowerST[[#This Row],[Cons. ST]]</f>
        <v>#N/A</v>
      </c>
      <c r="N142" s="16" t="e">
        <f>1000000000/700/PerfPowerST[[#This Row],[Cons. ST]]</f>
        <v>#N/A</v>
      </c>
      <c r="O142" s="16" t="e">
        <f>1000000000/800/PerfPowerST[[#This Row],[Cons. ST]]</f>
        <v>#N/A</v>
      </c>
      <c r="P142" s="16" t="e">
        <f>1000000000/900/PerfPowerST[[#This Row],[Cons. ST]]</f>
        <v>#N/A</v>
      </c>
      <c r="Q142" s="16" t="e">
        <f>1000000000/1000/PerfPowerST[[#This Row],[Cons. ST]]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4" s="16" t="e">
        <f>1000000000/50/PerfPowerST[[#This Row],[Cons. ST]]</f>
        <v>#N/A</v>
      </c>
      <c r="H144" s="16" t="e">
        <f>1000000000/100/PerfPowerST[[#This Row],[Cons. ST]]</f>
        <v>#N/A</v>
      </c>
      <c r="I144" s="16" t="e">
        <f>1000000000/200/PerfPowerST[[#This Row],[Cons. ST]]</f>
        <v>#N/A</v>
      </c>
      <c r="J144" s="16" t="e">
        <f>1000000000/300/PerfPowerST[[#This Row],[Cons. ST]]</f>
        <v>#N/A</v>
      </c>
      <c r="K144" s="16" t="e">
        <f>1000000000/400/PerfPowerST[[#This Row],[Cons. ST]]</f>
        <v>#N/A</v>
      </c>
      <c r="L144" s="16" t="e">
        <f>1000000000/500/PerfPowerST[[#This Row],[Cons. ST]]</f>
        <v>#N/A</v>
      </c>
      <c r="M144" s="16" t="e">
        <f>1000000000/600/PerfPowerST[[#This Row],[Cons. ST]]</f>
        <v>#N/A</v>
      </c>
      <c r="N144" s="16" t="e">
        <f>1000000000/700/PerfPowerST[[#This Row],[Cons. ST]]</f>
        <v>#N/A</v>
      </c>
      <c r="O144" s="16" t="e">
        <f>1000000000/800/PerfPowerST[[#This Row],[Cons. ST]]</f>
        <v>#N/A</v>
      </c>
      <c r="P144" s="16" t="e">
        <f>1000000000/900/PerfPowerST[[#This Row],[Cons. ST]]</f>
        <v>#N/A</v>
      </c>
      <c r="Q144" s="16" t="e">
        <f>1000000000/1000/PerfPowerST[[#This Row],[Cons. ST]]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5" s="16" t="e">
        <f>1000000000/50/PerfPowerST[[#This Row],[Cons. ST]]</f>
        <v>#N/A</v>
      </c>
      <c r="H145" s="16" t="e">
        <f>1000000000/100/PerfPowerST[[#This Row],[Cons. ST]]</f>
        <v>#N/A</v>
      </c>
      <c r="I145" s="16" t="e">
        <f>1000000000/200/PerfPowerST[[#This Row],[Cons. ST]]</f>
        <v>#N/A</v>
      </c>
      <c r="J145" s="16" t="e">
        <f>1000000000/300/PerfPowerST[[#This Row],[Cons. ST]]</f>
        <v>#N/A</v>
      </c>
      <c r="K145" s="16" t="e">
        <f>1000000000/400/PerfPowerST[[#This Row],[Cons. ST]]</f>
        <v>#N/A</v>
      </c>
      <c r="L145" s="16" t="e">
        <f>1000000000/500/PerfPowerST[[#This Row],[Cons. ST]]</f>
        <v>#N/A</v>
      </c>
      <c r="M145" s="16" t="e">
        <f>1000000000/600/PerfPowerST[[#This Row],[Cons. ST]]</f>
        <v>#N/A</v>
      </c>
      <c r="N145" s="16" t="e">
        <f>1000000000/700/PerfPowerST[[#This Row],[Cons. ST]]</f>
        <v>#N/A</v>
      </c>
      <c r="O145" s="16" t="e">
        <f>1000000000/800/PerfPowerST[[#This Row],[Cons. ST]]</f>
        <v>#N/A</v>
      </c>
      <c r="P145" s="16" t="e">
        <f>1000000000/900/PerfPowerST[[#This Row],[Cons. ST]]</f>
        <v>#N/A</v>
      </c>
      <c r="Q145" s="16" t="e">
        <f>1000000000/1000/PerfPowerST[[#This Row],[Cons. ST]]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1" s="16" t="e">
        <f>1000000000/50/PerfPowerST[[#This Row],[Cons. ST]]</f>
        <v>#N/A</v>
      </c>
      <c r="H151" s="16" t="e">
        <f>1000000000/100/PerfPowerST[[#This Row],[Cons. ST]]</f>
        <v>#N/A</v>
      </c>
      <c r="I151" s="16" t="e">
        <f>1000000000/200/PerfPowerST[[#This Row],[Cons. ST]]</f>
        <v>#N/A</v>
      </c>
      <c r="J151" s="16" t="e">
        <f>1000000000/300/PerfPowerST[[#This Row],[Cons. ST]]</f>
        <v>#N/A</v>
      </c>
      <c r="K151" s="16" t="e">
        <f>1000000000/400/PerfPowerST[[#This Row],[Cons. ST]]</f>
        <v>#N/A</v>
      </c>
      <c r="L151" s="16" t="e">
        <f>1000000000/500/PerfPowerST[[#This Row],[Cons. ST]]</f>
        <v>#N/A</v>
      </c>
      <c r="M151" s="16" t="e">
        <f>1000000000/600/PerfPowerST[[#This Row],[Cons. ST]]</f>
        <v>#N/A</v>
      </c>
      <c r="N151" s="16" t="e">
        <f>1000000000/700/PerfPowerST[[#This Row],[Cons. ST]]</f>
        <v>#N/A</v>
      </c>
      <c r="O151" s="16" t="e">
        <f>1000000000/800/PerfPowerST[[#This Row],[Cons. ST]]</f>
        <v>#N/A</v>
      </c>
      <c r="P151" s="16" t="e">
        <f>1000000000/900/PerfPowerST[[#This Row],[Cons. ST]]</f>
        <v>#N/A</v>
      </c>
      <c r="Q151" s="16" t="e">
        <f>1000000000/1000/PerfPowerST[[#This Row],[Cons. ST]]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2" s="16" t="e">
        <f>1000000000/50/PerfPowerST[[#This Row],[Cons. ST]]</f>
        <v>#N/A</v>
      </c>
      <c r="H152" s="16" t="e">
        <f>1000000000/100/PerfPowerST[[#This Row],[Cons. ST]]</f>
        <v>#N/A</v>
      </c>
      <c r="I152" s="16" t="e">
        <f>1000000000/200/PerfPowerST[[#This Row],[Cons. ST]]</f>
        <v>#N/A</v>
      </c>
      <c r="J152" s="16" t="e">
        <f>1000000000/300/PerfPowerST[[#This Row],[Cons. ST]]</f>
        <v>#N/A</v>
      </c>
      <c r="K152" s="16" t="e">
        <f>1000000000/400/PerfPowerST[[#This Row],[Cons. ST]]</f>
        <v>#N/A</v>
      </c>
      <c r="L152" s="16" t="e">
        <f>1000000000/500/PerfPowerST[[#This Row],[Cons. ST]]</f>
        <v>#N/A</v>
      </c>
      <c r="M152" s="16" t="e">
        <f>1000000000/600/PerfPowerST[[#This Row],[Cons. ST]]</f>
        <v>#N/A</v>
      </c>
      <c r="N152" s="16" t="e">
        <f>1000000000/700/PerfPowerST[[#This Row],[Cons. ST]]</f>
        <v>#N/A</v>
      </c>
      <c r="O152" s="16" t="e">
        <f>1000000000/800/PerfPowerST[[#This Row],[Cons. ST]]</f>
        <v>#N/A</v>
      </c>
      <c r="P152" s="16" t="e">
        <f>1000000000/900/PerfPowerST[[#This Row],[Cons. ST]]</f>
        <v>#N/A</v>
      </c>
      <c r="Q152" s="16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3"/>
  <sheetViews>
    <sheetView topLeftCell="B1" zoomScaleNormal="100" workbookViewId="0">
      <selection activeCell="C8" sqref="C8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2.3320312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278</v>
      </c>
      <c r="C2" t="s">
        <v>336</v>
      </c>
    </row>
    <row r="4" spans="2:3" ht="27" customHeight="1" x14ac:dyDescent="0.3">
      <c r="B4" s="1" t="s">
        <v>6</v>
      </c>
      <c r="C4" t="s">
        <v>328</v>
      </c>
    </row>
    <row r="5" spans="2:3" ht="27" customHeight="1" x14ac:dyDescent="0.3">
      <c r="B5" s="2" t="s">
        <v>111</v>
      </c>
      <c r="C5">
        <v>184.8</v>
      </c>
    </row>
    <row r="6" spans="2:3" ht="27" customHeight="1" x14ac:dyDescent="0.3">
      <c r="B6" s="2" t="s">
        <v>292</v>
      </c>
      <c r="C6">
        <v>287.18</v>
      </c>
    </row>
    <row r="7" spans="2:3" ht="27" customHeight="1" x14ac:dyDescent="0.3">
      <c r="B7" s="2" t="s">
        <v>253</v>
      </c>
      <c r="C7">
        <v>384.59</v>
      </c>
    </row>
    <row r="8" spans="2:3" ht="27" customHeight="1" x14ac:dyDescent="0.3">
      <c r="B8" s="2" t="s">
        <v>113</v>
      </c>
      <c r="C8">
        <v>388.05</v>
      </c>
    </row>
    <row r="9" spans="2:3" ht="27" customHeight="1" x14ac:dyDescent="0.3">
      <c r="B9" s="2" t="s">
        <v>291</v>
      </c>
      <c r="C9">
        <v>512.39</v>
      </c>
    </row>
    <row r="10" spans="2:3" ht="27" customHeight="1" x14ac:dyDescent="0.3">
      <c r="B10" s="2" t="s">
        <v>286</v>
      </c>
      <c r="C10">
        <v>590.89</v>
      </c>
    </row>
    <row r="11" spans="2:3" ht="27" customHeight="1" x14ac:dyDescent="0.3">
      <c r="B11" s="2" t="s">
        <v>264</v>
      </c>
      <c r="C11">
        <v>656.66</v>
      </c>
    </row>
    <row r="12" spans="2:3" ht="27" customHeight="1" x14ac:dyDescent="0.3">
      <c r="B12" s="2" t="s">
        <v>242</v>
      </c>
      <c r="C12">
        <v>739.31</v>
      </c>
    </row>
    <row r="13" spans="2:3" ht="27" customHeight="1" x14ac:dyDescent="0.3">
      <c r="B13" s="2" t="s">
        <v>265</v>
      </c>
      <c r="C13">
        <v>838.17</v>
      </c>
    </row>
    <row r="14" spans="2:3" ht="27" customHeight="1" x14ac:dyDescent="0.3">
      <c r="B14" s="2" t="s">
        <v>49</v>
      </c>
      <c r="C14">
        <v>885.22</v>
      </c>
    </row>
    <row r="15" spans="2:3" ht="27" customHeight="1" x14ac:dyDescent="0.3">
      <c r="B15" s="2" t="s">
        <v>243</v>
      </c>
      <c r="C15">
        <v>925.56</v>
      </c>
    </row>
    <row r="16" spans="2:3" ht="27" customHeight="1" x14ac:dyDescent="0.3">
      <c r="B16" s="2" t="s">
        <v>316</v>
      </c>
      <c r="C16">
        <v>1006.56</v>
      </c>
    </row>
    <row r="17" spans="2:3" ht="27" customHeight="1" x14ac:dyDescent="0.3">
      <c r="B17" s="2" t="s">
        <v>294</v>
      </c>
      <c r="C17">
        <v>1136.33</v>
      </c>
    </row>
    <row r="18" spans="2:3" ht="27" customHeight="1" x14ac:dyDescent="0.3">
      <c r="B18" s="2" t="s">
        <v>288</v>
      </c>
      <c r="C18">
        <v>1216.69</v>
      </c>
    </row>
    <row r="19" spans="2:3" ht="27" customHeight="1" x14ac:dyDescent="0.3">
      <c r="B19" s="2" t="s">
        <v>295</v>
      </c>
      <c r="C19">
        <v>1480.21</v>
      </c>
    </row>
    <row r="20" spans="2:3" ht="27" customHeight="1" x14ac:dyDescent="0.3">
      <c r="B20" s="2" t="s">
        <v>293</v>
      </c>
      <c r="C20">
        <v>1513.55</v>
      </c>
    </row>
    <row r="21" spans="2:3" ht="27" customHeight="1" x14ac:dyDescent="0.3">
      <c r="B21" s="2" t="s">
        <v>285</v>
      </c>
      <c r="C21">
        <v>1535</v>
      </c>
    </row>
    <row r="22" spans="2:3" ht="27" customHeight="1" x14ac:dyDescent="0.3">
      <c r="B22" s="2" t="s">
        <v>255</v>
      </c>
      <c r="C22">
        <v>1818.77</v>
      </c>
    </row>
    <row r="23" spans="2:3" ht="27" customHeight="1" x14ac:dyDescent="0.3">
      <c r="B23" s="2" t="s">
        <v>257</v>
      </c>
      <c r="C23">
        <v>1878.68</v>
      </c>
    </row>
    <row r="24" spans="2:3" ht="27" customHeight="1" x14ac:dyDescent="0.3">
      <c r="B24" s="2" t="s">
        <v>296</v>
      </c>
      <c r="C24">
        <v>1887.59</v>
      </c>
    </row>
    <row r="25" spans="2:3" ht="27" customHeight="1" x14ac:dyDescent="0.3">
      <c r="B25" s="2" t="s">
        <v>287</v>
      </c>
      <c r="C25">
        <v>2061.89</v>
      </c>
    </row>
    <row r="26" spans="2:3" ht="27" customHeight="1" x14ac:dyDescent="0.3">
      <c r="B26" s="2" t="s">
        <v>289</v>
      </c>
      <c r="C26">
        <v>2098.9899999999998</v>
      </c>
    </row>
    <row r="27" spans="2:3" ht="27" customHeight="1" x14ac:dyDescent="0.3">
      <c r="B27" s="2" t="s">
        <v>300</v>
      </c>
      <c r="C27">
        <v>2225.96</v>
      </c>
    </row>
    <row r="28" spans="2:3" ht="27" customHeight="1" x14ac:dyDescent="0.3">
      <c r="B28" s="2" t="s">
        <v>284</v>
      </c>
      <c r="C28">
        <v>2341.54</v>
      </c>
    </row>
    <row r="29" spans="2:3" ht="27" customHeight="1" x14ac:dyDescent="0.3">
      <c r="B29" s="2" t="s">
        <v>112</v>
      </c>
      <c r="C29">
        <v>2569.91</v>
      </c>
    </row>
    <row r="30" spans="2:3" ht="27" customHeight="1" x14ac:dyDescent="0.3">
      <c r="B30" s="2" t="s">
        <v>256</v>
      </c>
      <c r="C30">
        <v>2637.56</v>
      </c>
    </row>
    <row r="31" spans="2:3" ht="27" customHeight="1" x14ac:dyDescent="0.3">
      <c r="B31" s="2" t="s">
        <v>283</v>
      </c>
      <c r="C31">
        <v>2656.06</v>
      </c>
    </row>
    <row r="32" spans="2:3" ht="27" customHeight="1" x14ac:dyDescent="0.3">
      <c r="B32" s="2" t="s">
        <v>299</v>
      </c>
      <c r="C32">
        <v>2779.74</v>
      </c>
    </row>
    <row r="33" spans="2:3" ht="27" customHeight="1" x14ac:dyDescent="0.3">
      <c r="B33" s="2" t="s">
        <v>302</v>
      </c>
      <c r="C33">
        <v>3113.06</v>
      </c>
    </row>
    <row r="34" spans="2:3" ht="27" customHeight="1" x14ac:dyDescent="0.3">
      <c r="B34" s="2" t="s">
        <v>322</v>
      </c>
      <c r="C34">
        <v>3142</v>
      </c>
    </row>
    <row r="35" spans="2:3" ht="27" customHeight="1" x14ac:dyDescent="0.3">
      <c r="B35" s="2" t="s">
        <v>315</v>
      </c>
      <c r="C35">
        <v>3221.89</v>
      </c>
    </row>
    <row r="36" spans="2:3" ht="27" customHeight="1" x14ac:dyDescent="0.3">
      <c r="B36" s="2" t="s">
        <v>308</v>
      </c>
      <c r="C36">
        <v>3285.45</v>
      </c>
    </row>
    <row r="37" spans="2:3" ht="27" customHeight="1" x14ac:dyDescent="0.3">
      <c r="B37" s="2" t="s">
        <v>290</v>
      </c>
      <c r="C37">
        <v>3492.77</v>
      </c>
    </row>
    <row r="38" spans="2:3" ht="27" customHeight="1" x14ac:dyDescent="0.3">
      <c r="B38" s="2" t="s">
        <v>254</v>
      </c>
      <c r="C38">
        <v>3599.63</v>
      </c>
    </row>
    <row r="39" spans="2:3" ht="27" customHeight="1" x14ac:dyDescent="0.3">
      <c r="B39" s="2" t="s">
        <v>323</v>
      </c>
      <c r="C39">
        <v>3618</v>
      </c>
    </row>
    <row r="40" spans="2:3" ht="27" customHeight="1" x14ac:dyDescent="0.3">
      <c r="B40" s="2" t="s">
        <v>266</v>
      </c>
      <c r="C40">
        <v>3936.18</v>
      </c>
    </row>
    <row r="41" spans="2:3" ht="27" customHeight="1" x14ac:dyDescent="0.3">
      <c r="B41" s="2" t="s">
        <v>303</v>
      </c>
      <c r="C41">
        <v>4012.09</v>
      </c>
    </row>
    <row r="42" spans="2:3" ht="27" customHeight="1" x14ac:dyDescent="0.3">
      <c r="B42" s="2" t="s">
        <v>306</v>
      </c>
      <c r="C42">
        <v>4214.75</v>
      </c>
    </row>
    <row r="43" spans="2:3" ht="27" customHeight="1" x14ac:dyDescent="0.3">
      <c r="B43" s="2" t="s">
        <v>297</v>
      </c>
      <c r="C43">
        <v>4236.1000000000004</v>
      </c>
    </row>
    <row r="44" spans="2:3" ht="27" customHeight="1" x14ac:dyDescent="0.3">
      <c r="B44" s="2" t="s">
        <v>309</v>
      </c>
      <c r="C44">
        <v>4444.33</v>
      </c>
    </row>
    <row r="45" spans="2:3" ht="27" customHeight="1" x14ac:dyDescent="0.3">
      <c r="B45" s="2" t="s">
        <v>325</v>
      </c>
      <c r="C45">
        <v>4706.6000000000004</v>
      </c>
    </row>
    <row r="46" spans="2:3" ht="27" customHeight="1" x14ac:dyDescent="0.3">
      <c r="B46" s="2" t="s">
        <v>305</v>
      </c>
      <c r="C46">
        <v>4818.3599999999997</v>
      </c>
    </row>
    <row r="47" spans="2:3" ht="27" customHeight="1" x14ac:dyDescent="0.3">
      <c r="B47" s="2" t="s">
        <v>313</v>
      </c>
      <c r="C47">
        <v>4928.8</v>
      </c>
    </row>
    <row r="48" spans="2:3" ht="27" customHeight="1" x14ac:dyDescent="0.3">
      <c r="B48" s="2" t="s">
        <v>324</v>
      </c>
      <c r="C48">
        <v>5024.5</v>
      </c>
    </row>
    <row r="49" spans="2:3" ht="27" customHeight="1" x14ac:dyDescent="0.3">
      <c r="B49" s="2" t="s">
        <v>307</v>
      </c>
      <c r="C49">
        <v>5041.29</v>
      </c>
    </row>
    <row r="50" spans="2:3" ht="27" customHeight="1" x14ac:dyDescent="0.3">
      <c r="B50" s="2" t="s">
        <v>321</v>
      </c>
      <c r="C50">
        <v>5150.16</v>
      </c>
    </row>
    <row r="51" spans="2:3" ht="27" customHeight="1" x14ac:dyDescent="0.3">
      <c r="B51" s="2" t="s">
        <v>298</v>
      </c>
      <c r="C51">
        <v>5380.0754286575102</v>
      </c>
    </row>
    <row r="52" spans="2:3" ht="27" customHeight="1" x14ac:dyDescent="0.3">
      <c r="B52" s="2" t="s">
        <v>304</v>
      </c>
      <c r="C52">
        <v>5553.64</v>
      </c>
    </row>
    <row r="53" spans="2:3" ht="27" customHeight="1" x14ac:dyDescent="0.3">
      <c r="B53" s="2" t="s">
        <v>301</v>
      </c>
      <c r="C53">
        <v>5753.1937416758474</v>
      </c>
    </row>
    <row r="54" spans="2:3" ht="27" customHeight="1" x14ac:dyDescent="0.3">
      <c r="B54" s="2" t="s">
        <v>310</v>
      </c>
      <c r="C54">
        <v>6261.2</v>
      </c>
    </row>
    <row r="55" spans="2:3" ht="27" customHeight="1" x14ac:dyDescent="0.3">
      <c r="B55" s="2" t="s">
        <v>97</v>
      </c>
      <c r="C55">
        <v>6668.05</v>
      </c>
    </row>
    <row r="56" spans="2:3" ht="27" customHeight="1" x14ac:dyDescent="0.3">
      <c r="B56" s="2" t="s">
        <v>317</v>
      </c>
      <c r="C56">
        <v>6846.19</v>
      </c>
    </row>
    <row r="57" spans="2:3" ht="27" customHeight="1" x14ac:dyDescent="0.3">
      <c r="B57" s="2" t="s">
        <v>318</v>
      </c>
      <c r="C57">
        <v>8538.84</v>
      </c>
    </row>
    <row r="58" spans="2:3" ht="27" customHeight="1" x14ac:dyDescent="0.3">
      <c r="B58" s="2" t="s">
        <v>311</v>
      </c>
      <c r="C58">
        <v>8913.74</v>
      </c>
    </row>
    <row r="59" spans="2:3" ht="27" customHeight="1" x14ac:dyDescent="0.3">
      <c r="B59" s="2" t="s">
        <v>319</v>
      </c>
      <c r="C59">
        <v>10136.27</v>
      </c>
    </row>
    <row r="60" spans="2:3" ht="27" customHeight="1" x14ac:dyDescent="0.3">
      <c r="B60" s="2" t="s">
        <v>320</v>
      </c>
      <c r="C60">
        <v>10676.69</v>
      </c>
    </row>
    <row r="61" spans="2:3" ht="27" customHeight="1" x14ac:dyDescent="0.3">
      <c r="B61" s="2" t="s">
        <v>314</v>
      </c>
      <c r="C61">
        <v>11599.53</v>
      </c>
    </row>
    <row r="62" spans="2:3" ht="27" customHeight="1" x14ac:dyDescent="0.3">
      <c r="B62" s="2" t="s">
        <v>312</v>
      </c>
      <c r="C62">
        <v>12370.21</v>
      </c>
    </row>
    <row r="63" spans="2:3" ht="27" customHeight="1" x14ac:dyDescent="0.3">
      <c r="B63" s="2" t="s">
        <v>7</v>
      </c>
      <c r="C63">
        <v>211921.43917033332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3"/>
  <sheetViews>
    <sheetView workbookViewId="0">
      <selection activeCell="C11" sqref="C11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88671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279</v>
      </c>
      <c r="C2" t="s">
        <v>336</v>
      </c>
    </row>
    <row r="4" spans="2:3" ht="27" customHeight="1" x14ac:dyDescent="0.3">
      <c r="B4" s="1" t="s">
        <v>6</v>
      </c>
      <c r="C4" t="s">
        <v>329</v>
      </c>
    </row>
    <row r="5" spans="2:3" ht="27" customHeight="1" x14ac:dyDescent="0.3">
      <c r="B5" s="2" t="s">
        <v>242</v>
      </c>
      <c r="C5">
        <v>12266</v>
      </c>
    </row>
    <row r="6" spans="2:3" ht="27" customHeight="1" x14ac:dyDescent="0.3">
      <c r="B6" s="2" t="s">
        <v>243</v>
      </c>
      <c r="C6">
        <v>12017</v>
      </c>
    </row>
    <row r="7" spans="2:3" ht="27" customHeight="1" x14ac:dyDescent="0.3">
      <c r="B7" s="2" t="s">
        <v>316</v>
      </c>
      <c r="C7">
        <v>10507</v>
      </c>
    </row>
    <row r="8" spans="2:3" ht="27" customHeight="1" x14ac:dyDescent="0.3">
      <c r="B8" s="2" t="s">
        <v>111</v>
      </c>
      <c r="C8">
        <v>9015.32</v>
      </c>
    </row>
    <row r="9" spans="2:3" ht="27" customHeight="1" x14ac:dyDescent="0.3">
      <c r="B9" s="2" t="s">
        <v>296</v>
      </c>
      <c r="C9">
        <v>8241.4330000000009</v>
      </c>
    </row>
    <row r="10" spans="2:3" ht="27" customHeight="1" x14ac:dyDescent="0.3">
      <c r="B10" s="2" t="s">
        <v>303</v>
      </c>
      <c r="C10">
        <v>7095</v>
      </c>
    </row>
    <row r="11" spans="2:3" ht="27" customHeight="1" x14ac:dyDescent="0.3">
      <c r="B11" s="2" t="s">
        <v>284</v>
      </c>
      <c r="C11">
        <v>6777</v>
      </c>
    </row>
    <row r="12" spans="2:3" ht="27" customHeight="1" x14ac:dyDescent="0.3">
      <c r="B12" s="2" t="s">
        <v>295</v>
      </c>
      <c r="C12">
        <v>6750</v>
      </c>
    </row>
    <row r="13" spans="2:3" ht="27" customHeight="1" x14ac:dyDescent="0.3">
      <c r="B13" s="2" t="s">
        <v>315</v>
      </c>
      <c r="C13">
        <v>6311</v>
      </c>
    </row>
    <row r="14" spans="2:3" ht="27" customHeight="1" x14ac:dyDescent="0.3">
      <c r="B14" s="2" t="s">
        <v>302</v>
      </c>
      <c r="C14">
        <v>6234</v>
      </c>
    </row>
    <row r="15" spans="2:3" ht="27" customHeight="1" x14ac:dyDescent="0.3">
      <c r="B15" s="2" t="s">
        <v>289</v>
      </c>
      <c r="C15">
        <v>5870.3512499999997</v>
      </c>
    </row>
    <row r="16" spans="2:3" ht="27" customHeight="1" x14ac:dyDescent="0.3">
      <c r="B16" s="2" t="s">
        <v>255</v>
      </c>
      <c r="C16">
        <v>5785</v>
      </c>
    </row>
    <row r="17" spans="2:3" ht="27" customHeight="1" x14ac:dyDescent="0.3">
      <c r="B17" s="2" t="s">
        <v>112</v>
      </c>
      <c r="C17">
        <v>5444</v>
      </c>
    </row>
    <row r="18" spans="2:3" ht="27" customHeight="1" x14ac:dyDescent="0.3">
      <c r="B18" s="2" t="s">
        <v>300</v>
      </c>
      <c r="C18">
        <v>5441</v>
      </c>
    </row>
    <row r="19" spans="2:3" ht="27" customHeight="1" x14ac:dyDescent="0.3">
      <c r="B19" s="2" t="s">
        <v>285</v>
      </c>
      <c r="C19">
        <v>5428.6440000000002</v>
      </c>
    </row>
    <row r="20" spans="2:3" ht="27" customHeight="1" x14ac:dyDescent="0.3">
      <c r="B20" s="2" t="s">
        <v>317</v>
      </c>
      <c r="C20">
        <v>5356</v>
      </c>
    </row>
    <row r="21" spans="2:3" ht="27" customHeight="1" x14ac:dyDescent="0.3">
      <c r="B21" s="2" t="s">
        <v>297</v>
      </c>
      <c r="C21">
        <v>5274</v>
      </c>
    </row>
    <row r="22" spans="2:3" ht="27" customHeight="1" x14ac:dyDescent="0.3">
      <c r="B22" s="2" t="s">
        <v>256</v>
      </c>
      <c r="C22">
        <v>5262</v>
      </c>
    </row>
    <row r="23" spans="2:3" ht="27" customHeight="1" x14ac:dyDescent="0.3">
      <c r="B23" s="2" t="s">
        <v>286</v>
      </c>
      <c r="C23">
        <v>5238</v>
      </c>
    </row>
    <row r="24" spans="2:3" ht="27" customHeight="1" x14ac:dyDescent="0.3">
      <c r="B24" s="2" t="s">
        <v>253</v>
      </c>
      <c r="C24">
        <v>5226</v>
      </c>
    </row>
    <row r="25" spans="2:3" ht="27" customHeight="1" x14ac:dyDescent="0.3">
      <c r="B25" s="2" t="s">
        <v>294</v>
      </c>
      <c r="C25">
        <v>5208</v>
      </c>
    </row>
    <row r="26" spans="2:3" ht="27" customHeight="1" x14ac:dyDescent="0.3">
      <c r="B26" s="2" t="s">
        <v>308</v>
      </c>
      <c r="C26">
        <v>5156</v>
      </c>
    </row>
    <row r="27" spans="2:3" ht="27" customHeight="1" x14ac:dyDescent="0.3">
      <c r="B27" s="2" t="s">
        <v>265</v>
      </c>
      <c r="C27">
        <v>5030</v>
      </c>
    </row>
    <row r="28" spans="2:3" ht="27" customHeight="1" x14ac:dyDescent="0.3">
      <c r="B28" s="2" t="s">
        <v>113</v>
      </c>
      <c r="C28">
        <v>4965</v>
      </c>
    </row>
    <row r="29" spans="2:3" ht="27" customHeight="1" x14ac:dyDescent="0.3">
      <c r="B29" s="2" t="s">
        <v>322</v>
      </c>
      <c r="C29">
        <v>4836</v>
      </c>
    </row>
    <row r="30" spans="2:3" ht="27" customHeight="1" x14ac:dyDescent="0.3">
      <c r="B30" s="2" t="s">
        <v>309</v>
      </c>
      <c r="C30">
        <v>4821</v>
      </c>
    </row>
    <row r="31" spans="2:3" ht="27" customHeight="1" x14ac:dyDescent="0.3">
      <c r="B31" s="2" t="s">
        <v>299</v>
      </c>
      <c r="C31">
        <v>4800.7988888888895</v>
      </c>
    </row>
    <row r="32" spans="2:3" ht="27" customHeight="1" x14ac:dyDescent="0.3">
      <c r="B32" s="2" t="s">
        <v>310</v>
      </c>
      <c r="C32">
        <v>4764</v>
      </c>
    </row>
    <row r="33" spans="2:3" ht="27" customHeight="1" x14ac:dyDescent="0.3">
      <c r="B33" s="2" t="s">
        <v>264</v>
      </c>
      <c r="C33">
        <v>4575</v>
      </c>
    </row>
    <row r="34" spans="2:3" ht="27" customHeight="1" x14ac:dyDescent="0.3">
      <c r="B34" s="2" t="s">
        <v>292</v>
      </c>
      <c r="C34">
        <v>4550</v>
      </c>
    </row>
    <row r="35" spans="2:3" ht="27" customHeight="1" x14ac:dyDescent="0.3">
      <c r="B35" s="2" t="s">
        <v>304</v>
      </c>
      <c r="C35">
        <v>4469</v>
      </c>
    </row>
    <row r="36" spans="2:3" ht="27" customHeight="1" x14ac:dyDescent="0.3">
      <c r="B36" s="2" t="s">
        <v>97</v>
      </c>
      <c r="C36">
        <v>4149</v>
      </c>
    </row>
    <row r="37" spans="2:3" ht="27" customHeight="1" x14ac:dyDescent="0.3">
      <c r="B37" s="2" t="s">
        <v>293</v>
      </c>
      <c r="C37">
        <v>4075.1950000000002</v>
      </c>
    </row>
    <row r="38" spans="2:3" ht="27" customHeight="1" x14ac:dyDescent="0.3">
      <c r="B38" s="2" t="s">
        <v>311</v>
      </c>
      <c r="C38">
        <v>4067</v>
      </c>
    </row>
    <row r="39" spans="2:3" ht="27" customHeight="1" x14ac:dyDescent="0.3">
      <c r="B39" s="2" t="s">
        <v>318</v>
      </c>
      <c r="C39">
        <v>3964</v>
      </c>
    </row>
    <row r="40" spans="2:3" ht="14.4" x14ac:dyDescent="0.3">
      <c r="B40" s="2" t="s">
        <v>49</v>
      </c>
      <c r="C40">
        <v>3912</v>
      </c>
    </row>
    <row r="41" spans="2:3" ht="27" customHeight="1" x14ac:dyDescent="0.3">
      <c r="B41" s="2" t="s">
        <v>257</v>
      </c>
      <c r="C41">
        <v>3886</v>
      </c>
    </row>
    <row r="42" spans="2:3" ht="27" customHeight="1" x14ac:dyDescent="0.3">
      <c r="B42" s="2" t="s">
        <v>290</v>
      </c>
      <c r="C42">
        <v>3775</v>
      </c>
    </row>
    <row r="43" spans="2:3" ht="27" customHeight="1" x14ac:dyDescent="0.3">
      <c r="B43" s="2" t="s">
        <v>291</v>
      </c>
      <c r="C43">
        <v>3703.3049999999998</v>
      </c>
    </row>
    <row r="44" spans="2:3" ht="27" customHeight="1" x14ac:dyDescent="0.3">
      <c r="B44" s="2" t="s">
        <v>323</v>
      </c>
      <c r="C44">
        <v>3584</v>
      </c>
    </row>
    <row r="45" spans="2:3" ht="27" customHeight="1" x14ac:dyDescent="0.3">
      <c r="B45" s="2" t="s">
        <v>306</v>
      </c>
      <c r="C45">
        <v>3495</v>
      </c>
    </row>
    <row r="46" spans="2:3" ht="27" customHeight="1" x14ac:dyDescent="0.3">
      <c r="B46" s="2" t="s">
        <v>314</v>
      </c>
      <c r="C46">
        <v>3245.53</v>
      </c>
    </row>
    <row r="47" spans="2:3" ht="27" customHeight="1" x14ac:dyDescent="0.3">
      <c r="B47" s="2" t="s">
        <v>266</v>
      </c>
      <c r="C47">
        <v>3010</v>
      </c>
    </row>
    <row r="48" spans="2:3" ht="27" customHeight="1" x14ac:dyDescent="0.3">
      <c r="B48" s="2" t="s">
        <v>319</v>
      </c>
      <c r="C48">
        <v>2947</v>
      </c>
    </row>
    <row r="49" spans="2:3" ht="27" customHeight="1" x14ac:dyDescent="0.3">
      <c r="B49" s="2" t="s">
        <v>287</v>
      </c>
      <c r="C49">
        <v>2723.7275</v>
      </c>
    </row>
    <row r="50" spans="2:3" ht="27" customHeight="1" x14ac:dyDescent="0.3">
      <c r="B50" s="2" t="s">
        <v>305</v>
      </c>
      <c r="C50">
        <v>2681.15</v>
      </c>
    </row>
    <row r="51" spans="2:3" ht="27" customHeight="1" x14ac:dyDescent="0.3">
      <c r="B51" s="2" t="s">
        <v>288</v>
      </c>
      <c r="C51">
        <v>2588</v>
      </c>
    </row>
    <row r="52" spans="2:3" ht="27" customHeight="1" x14ac:dyDescent="0.3">
      <c r="B52" s="2" t="s">
        <v>312</v>
      </c>
      <c r="C52">
        <v>2564</v>
      </c>
    </row>
    <row r="53" spans="2:3" ht="27" customHeight="1" x14ac:dyDescent="0.3">
      <c r="B53" s="2" t="s">
        <v>324</v>
      </c>
      <c r="C53">
        <v>2505</v>
      </c>
    </row>
    <row r="54" spans="2:3" ht="27" customHeight="1" x14ac:dyDescent="0.3">
      <c r="B54" s="2" t="s">
        <v>307</v>
      </c>
      <c r="C54">
        <v>2500</v>
      </c>
    </row>
    <row r="55" spans="2:3" ht="27" customHeight="1" x14ac:dyDescent="0.3">
      <c r="B55" s="2" t="s">
        <v>301</v>
      </c>
      <c r="C55">
        <v>2431</v>
      </c>
    </row>
    <row r="56" spans="2:3" ht="27" customHeight="1" x14ac:dyDescent="0.3">
      <c r="B56" s="2" t="s">
        <v>283</v>
      </c>
      <c r="C56">
        <v>2410</v>
      </c>
    </row>
    <row r="57" spans="2:3" ht="27" customHeight="1" x14ac:dyDescent="0.3">
      <c r="B57" s="2" t="s">
        <v>320</v>
      </c>
      <c r="C57">
        <v>2361</v>
      </c>
    </row>
    <row r="58" spans="2:3" ht="27" customHeight="1" x14ac:dyDescent="0.3">
      <c r="B58" s="2" t="s">
        <v>321</v>
      </c>
      <c r="C58">
        <v>2204.2800000000002</v>
      </c>
    </row>
    <row r="59" spans="2:3" ht="27" customHeight="1" x14ac:dyDescent="0.3">
      <c r="B59" s="2" t="s">
        <v>254</v>
      </c>
      <c r="C59">
        <v>2029</v>
      </c>
    </row>
    <row r="60" spans="2:3" ht="27" customHeight="1" x14ac:dyDescent="0.3">
      <c r="B60" s="2" t="s">
        <v>325</v>
      </c>
      <c r="C60">
        <v>1779</v>
      </c>
    </row>
    <row r="61" spans="2:3" ht="27" customHeight="1" x14ac:dyDescent="0.3">
      <c r="B61" s="2" t="s">
        <v>298</v>
      </c>
      <c r="C61">
        <v>1669.5</v>
      </c>
    </row>
    <row r="62" spans="2:3" ht="27" customHeight="1" x14ac:dyDescent="0.3">
      <c r="B62" s="2" t="s">
        <v>313</v>
      </c>
      <c r="C62">
        <v>1557.9180000000001</v>
      </c>
    </row>
    <row r="63" spans="2:3" ht="27" customHeight="1" x14ac:dyDescent="0.3">
      <c r="B63" s="2" t="s">
        <v>7</v>
      </c>
      <c r="C63">
        <v>272530.15263888886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ResultsEntry</vt:lpstr>
      <vt:lpstr>PES GB5</vt:lpstr>
      <vt:lpstr>Consumption GB5</vt:lpstr>
      <vt:lpstr>Perf-Power-GB5</vt:lpstr>
      <vt:lpstr>PES CB23ST</vt:lpstr>
      <vt:lpstr>Consumption CB23ST</vt:lpstr>
      <vt:lpstr>Perf-Power-CB23ST</vt:lpstr>
      <vt:lpstr>PES CB23MT</vt:lpstr>
      <vt:lpstr>Consumption CB23MT</vt:lpstr>
      <vt:lpstr>Perf-Power-CB23MT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2023-01-15T08:42:30Z</dcterms:modified>
</cp:coreProperties>
</file>