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项目\钻探日报项目\"/>
    </mc:Choice>
  </mc:AlternateContent>
  <xr:revisionPtr revIDLastSave="0" documentId="8_{9D5DFE26-1CAA-433E-9E37-BBBB4C78D551}" xr6:coauthVersionLast="47" xr6:coauthVersionMax="47" xr10:uidLastSave="{00000000-0000-0000-0000-000000000000}"/>
  <bookViews>
    <workbookView xWindow="-108" yWindow="-108" windowWidth="23256" windowHeight="12720" xr2:uid="{061739F8-B9A5-41D2-A942-773259228BD9}"/>
  </bookViews>
  <sheets>
    <sheet name="日常更新" sheetId="1" r:id="rId1"/>
  </sheets>
  <definedNames>
    <definedName name="_xlnm._FilterDatabase" localSheetId="0" hidden="1">日常更新!$A$3:$M$51</definedName>
    <definedName name="汇总统计行">日常更新!$A$93:$I$93</definedName>
    <definedName name="机台数据表">日常更新!$A$71:$I$89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I93" i="1"/>
  <c r="G93" i="1"/>
  <c r="E93" i="1"/>
  <c r="D93" i="1"/>
  <c r="C93" i="1"/>
  <c r="A93" i="1"/>
  <c r="M90" i="1"/>
  <c r="P89" i="1"/>
  <c r="O89" i="1"/>
  <c r="J89" i="1"/>
  <c r="N89" i="1" s="1"/>
  <c r="E89" i="1" a="1"/>
  <c r="E89" i="1" s="1"/>
  <c r="P88" i="1"/>
  <c r="O88" i="1"/>
  <c r="J88" i="1"/>
  <c r="E88" i="1" a="1"/>
  <c r="E88" i="1" s="1"/>
  <c r="D88" i="1"/>
  <c r="C88" i="1"/>
  <c r="P87" i="1"/>
  <c r="O87" i="1"/>
  <c r="J87" i="1"/>
  <c r="E87" i="1" a="1"/>
  <c r="E87" i="1" s="1"/>
  <c r="D87" i="1"/>
  <c r="C87" i="1"/>
  <c r="P86" i="1"/>
  <c r="O86" i="1"/>
  <c r="J86" i="1"/>
  <c r="E86" i="1" a="1"/>
  <c r="E86" i="1" s="1"/>
  <c r="D86" i="1"/>
  <c r="C86" i="1"/>
  <c r="P85" i="1"/>
  <c r="O85" i="1"/>
  <c r="J85" i="1"/>
  <c r="E85" i="1" a="1"/>
  <c r="E85" i="1" s="1"/>
  <c r="D85" i="1"/>
  <c r="C85" i="1"/>
  <c r="P84" i="1"/>
  <c r="O84" i="1"/>
  <c r="J84" i="1"/>
  <c r="E84" i="1" a="1"/>
  <c r="E84" i="1" s="1"/>
  <c r="D84" i="1"/>
  <c r="C84" i="1"/>
  <c r="P83" i="1"/>
  <c r="O83" i="1"/>
  <c r="J83" i="1"/>
  <c r="E83" i="1" a="1"/>
  <c r="E83" i="1" s="1"/>
  <c r="D83" i="1"/>
  <c r="C83" i="1"/>
  <c r="P82" i="1"/>
  <c r="O82" i="1"/>
  <c r="E82" i="1" a="1"/>
  <c r="E82" i="1" s="1"/>
  <c r="D82" i="1"/>
  <c r="C82" i="1"/>
  <c r="P81" i="1"/>
  <c r="O81" i="1"/>
  <c r="E81" i="1" a="1"/>
  <c r="E81" i="1" s="1"/>
  <c r="D81" i="1"/>
  <c r="C81" i="1"/>
  <c r="P80" i="1"/>
  <c r="O80" i="1"/>
  <c r="E80" i="1" a="1"/>
  <c r="E80" i="1" s="1"/>
  <c r="D80" i="1"/>
  <c r="C80" i="1"/>
  <c r="P79" i="1"/>
  <c r="O79" i="1"/>
  <c r="E79" i="1" a="1"/>
  <c r="E79" i="1" s="1"/>
  <c r="D79" i="1"/>
  <c r="C79" i="1"/>
  <c r="P78" i="1"/>
  <c r="O78" i="1"/>
  <c r="E78" i="1" a="1"/>
  <c r="E78" i="1" s="1"/>
  <c r="D78" i="1"/>
  <c r="C78" i="1"/>
  <c r="P77" i="1"/>
  <c r="O77" i="1"/>
  <c r="E77" i="1" a="1"/>
  <c r="E77" i="1" s="1"/>
  <c r="D77" i="1"/>
  <c r="C77" i="1"/>
  <c r="P76" i="1"/>
  <c r="O76" i="1"/>
  <c r="J76" i="1"/>
  <c r="E76" i="1" a="1"/>
  <c r="E76" i="1" s="1"/>
  <c r="D76" i="1"/>
  <c r="C76" i="1"/>
  <c r="P75" i="1"/>
  <c r="O75" i="1"/>
  <c r="E75" i="1" a="1"/>
  <c r="E75" i="1" s="1"/>
  <c r="D75" i="1"/>
  <c r="C75" i="1"/>
  <c r="P74" i="1"/>
  <c r="O74" i="1"/>
  <c r="J74" i="1"/>
  <c r="E74" i="1" a="1"/>
  <c r="E74" i="1" s="1"/>
  <c r="I74" i="1" s="1"/>
  <c r="D74" i="1"/>
  <c r="C74" i="1"/>
  <c r="P73" i="1"/>
  <c r="O73" i="1"/>
  <c r="J73" i="1"/>
  <c r="E73" i="1" a="1"/>
  <c r="E73" i="1" s="1"/>
  <c r="D73" i="1"/>
  <c r="C73" i="1"/>
  <c r="P72" i="1"/>
  <c r="O72" i="1"/>
  <c r="J72" i="1"/>
  <c r="E72" i="1" a="1"/>
  <c r="E72" i="1" s="1"/>
  <c r="H72" i="1" s="1"/>
  <c r="D72" i="1"/>
  <c r="C72" i="1"/>
  <c r="P71" i="1"/>
  <c r="O71" i="1"/>
  <c r="J71" i="1"/>
  <c r="E71" i="1" a="1"/>
  <c r="E71" i="1" s="1"/>
  <c r="D71" i="1"/>
  <c r="C71" i="1"/>
  <c r="C66" i="1"/>
  <c r="B66" i="1"/>
  <c r="J65" i="1"/>
  <c r="H65" i="1"/>
  <c r="G65" i="1"/>
  <c r="F65" i="1"/>
  <c r="I57" i="1"/>
  <c r="J79" i="1" s="1"/>
  <c r="D57" i="1"/>
  <c r="I56" i="1"/>
  <c r="J81" i="1" s="1"/>
  <c r="D56" i="1"/>
  <c r="I55" i="1"/>
  <c r="J75" i="1" s="1"/>
  <c r="D55" i="1"/>
  <c r="I54" i="1"/>
  <c r="J77" i="1" s="1"/>
  <c r="D54" i="1"/>
  <c r="I53" i="1"/>
  <c r="J80" i="1" s="1"/>
  <c r="D53" i="1"/>
  <c r="I52" i="1"/>
  <c r="J78" i="1" s="1"/>
  <c r="D52" i="1"/>
  <c r="D51" i="1"/>
  <c r="D50" i="1"/>
  <c r="I49" i="1"/>
  <c r="E66" i="1" s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N84" i="1" l="1"/>
  <c r="N88" i="1"/>
  <c r="N83" i="1"/>
  <c r="F93" i="1"/>
  <c r="I72" i="1"/>
  <c r="N80" i="1"/>
  <c r="N77" i="1"/>
  <c r="N76" i="1"/>
  <c r="N87" i="1"/>
  <c r="N79" i="1"/>
  <c r="I65" i="1"/>
  <c r="N75" i="1"/>
  <c r="N86" i="1"/>
  <c r="N85" i="1"/>
  <c r="C90" i="1"/>
  <c r="G74" i="1"/>
  <c r="N81" i="1"/>
  <c r="N78" i="1"/>
  <c r="F82" i="1"/>
  <c r="I82" i="1"/>
  <c r="H82" i="1"/>
  <c r="G82" i="1"/>
  <c r="G73" i="1"/>
  <c r="I73" i="1"/>
  <c r="H73" i="1"/>
  <c r="F73" i="1"/>
  <c r="F78" i="1"/>
  <c r="I78" i="1"/>
  <c r="H78" i="1"/>
  <c r="G78" i="1"/>
  <c r="I85" i="1"/>
  <c r="H85" i="1"/>
  <c r="G85" i="1"/>
  <c r="F85" i="1"/>
  <c r="I81" i="1"/>
  <c r="H81" i="1"/>
  <c r="G81" i="1"/>
  <c r="F81" i="1"/>
  <c r="I75" i="1"/>
  <c r="H75" i="1"/>
  <c r="G75" i="1"/>
  <c r="F75" i="1"/>
  <c r="F86" i="1"/>
  <c r="I86" i="1"/>
  <c r="H86" i="1"/>
  <c r="G86" i="1"/>
  <c r="I89" i="1"/>
  <c r="H89" i="1"/>
  <c r="G89" i="1"/>
  <c r="F89" i="1"/>
  <c r="F71" i="1"/>
  <c r="H71" i="1"/>
  <c r="I71" i="1"/>
  <c r="G71" i="1"/>
  <c r="I77" i="1"/>
  <c r="H77" i="1"/>
  <c r="G77" i="1"/>
  <c r="F77" i="1"/>
  <c r="F84" i="1"/>
  <c r="I84" i="1"/>
  <c r="H84" i="1"/>
  <c r="G84" i="1"/>
  <c r="F88" i="1"/>
  <c r="I88" i="1"/>
  <c r="H88" i="1"/>
  <c r="G88" i="1"/>
  <c r="F80" i="1"/>
  <c r="I80" i="1"/>
  <c r="H80" i="1"/>
  <c r="G80" i="1"/>
  <c r="F76" i="1"/>
  <c r="I76" i="1"/>
  <c r="H76" i="1"/>
  <c r="G76" i="1"/>
  <c r="I83" i="1"/>
  <c r="H83" i="1"/>
  <c r="G83" i="1"/>
  <c r="F83" i="1"/>
  <c r="I87" i="1"/>
  <c r="H87" i="1"/>
  <c r="G87" i="1"/>
  <c r="F87" i="1"/>
  <c r="I79" i="1"/>
  <c r="H79" i="1"/>
  <c r="G79" i="1"/>
  <c r="F79" i="1"/>
  <c r="F74" i="1"/>
  <c r="D66" i="1"/>
  <c r="F72" i="1"/>
  <c r="H74" i="1"/>
  <c r="J82" i="1"/>
  <c r="N82" i="1" s="1"/>
  <c r="D90" i="1"/>
  <c r="G72" i="1"/>
  <c r="H93" i="1"/>
  <c r="N90" i="1" l="1"/>
  <c r="J90" i="1"/>
</calcChain>
</file>

<file path=xl/sharedStrings.xml><?xml version="1.0" encoding="utf-8"?>
<sst xmlns="http://schemas.openxmlformats.org/spreadsheetml/2006/main" count="260" uniqueCount="132">
  <si>
    <t>序号</t>
  </si>
  <si>
    <t>钻孔号</t>
  </si>
  <si>
    <t>钻机编号</t>
    <phoneticPr fontId="2" type="noConversion"/>
  </si>
  <si>
    <t>负责人</t>
    <phoneticPr fontId="2" type="noConversion"/>
  </si>
  <si>
    <t>开孔日期</t>
  </si>
  <si>
    <t>设计孔深</t>
  </si>
  <si>
    <t>前日孔深</t>
  </si>
  <si>
    <t>当日进尺</t>
  </si>
  <si>
    <t>孔深</t>
  </si>
  <si>
    <t>终孔孔深</t>
    <phoneticPr fontId="2" type="noConversion"/>
  </si>
  <si>
    <t>终孔日期</t>
  </si>
  <si>
    <t>备注</t>
    <phoneticPr fontId="2" type="noConversion"/>
  </si>
  <si>
    <t>编录员</t>
    <phoneticPr fontId="2" type="noConversion"/>
  </si>
  <si>
    <t>终孔</t>
    <phoneticPr fontId="2" type="noConversion"/>
  </si>
  <si>
    <t>总计</t>
    <phoneticPr fontId="2" type="noConversion"/>
  </si>
  <si>
    <t>累计终孔</t>
    <phoneticPr fontId="2" type="noConversion"/>
  </si>
  <si>
    <t>终孔深度</t>
    <phoneticPr fontId="2" type="noConversion"/>
  </si>
  <si>
    <t>孔内进尺</t>
    <phoneticPr fontId="2" type="noConversion"/>
  </si>
  <si>
    <t>机台号</t>
  </si>
  <si>
    <t>钻机类型</t>
    <phoneticPr fontId="2" type="noConversion"/>
  </si>
  <si>
    <t>已完成钻孔</t>
    <phoneticPr fontId="2" type="noConversion"/>
  </si>
  <si>
    <t>终孔量</t>
  </si>
  <si>
    <t>现施工钻孔</t>
    <phoneticPr fontId="2" type="noConversion"/>
  </si>
  <si>
    <t>设计孔深</t>
    <phoneticPr fontId="2" type="noConversion"/>
  </si>
  <si>
    <t>孔深</t>
    <phoneticPr fontId="2" type="noConversion"/>
  </si>
  <si>
    <t>当日进尺</t>
    <phoneticPr fontId="2" type="noConversion"/>
  </si>
  <si>
    <t>开孔日期</t>
    <phoneticPr fontId="2" type="noConversion"/>
  </si>
  <si>
    <t>累计钻进量</t>
    <phoneticPr fontId="2" type="noConversion"/>
  </si>
  <si>
    <t>当日终孔</t>
    <phoneticPr fontId="2" type="noConversion"/>
  </si>
  <si>
    <t>液压钻</t>
  </si>
  <si>
    <t>在场</t>
    <phoneticPr fontId="2" type="noConversion"/>
  </si>
  <si>
    <t>汽车钻</t>
    <phoneticPr fontId="2" type="noConversion"/>
  </si>
  <si>
    <t>液压钻</t>
    <phoneticPr fontId="2" type="noConversion"/>
  </si>
  <si>
    <t>已撤场</t>
    <phoneticPr fontId="2" type="noConversion"/>
  </si>
  <si>
    <t>项目部</t>
    <phoneticPr fontId="2" type="noConversion"/>
  </si>
  <si>
    <t>合计</t>
  </si>
  <si>
    <t>今天日期</t>
    <phoneticPr fontId="2" type="noConversion"/>
  </si>
  <si>
    <t>天气</t>
    <phoneticPr fontId="2" type="noConversion"/>
  </si>
  <si>
    <t>钻机</t>
    <phoneticPr fontId="2" type="noConversion"/>
  </si>
  <si>
    <t>人员</t>
    <phoneticPr fontId="2" type="noConversion"/>
  </si>
  <si>
    <t>累计完成钻孔</t>
    <phoneticPr fontId="2" type="noConversion"/>
  </si>
  <si>
    <t>完成钻探工作量</t>
    <phoneticPr fontId="2" type="noConversion"/>
  </si>
  <si>
    <t>正在施工钻孔</t>
    <phoneticPr fontId="2" type="noConversion"/>
  </si>
  <si>
    <t>晴</t>
    <phoneticPr fontId="2" type="noConversion"/>
  </si>
  <si>
    <t>ZK-35</t>
  </si>
  <si>
    <t>ZK-38</t>
  </si>
  <si>
    <t>ZK-14</t>
  </si>
  <si>
    <t>ZK-41</t>
  </si>
  <si>
    <t>ZK-09</t>
  </si>
  <si>
    <t>ZK-19</t>
  </si>
  <si>
    <t>ZK-34</t>
  </si>
  <si>
    <t>ZK-29</t>
  </si>
  <si>
    <t>ZK-24</t>
  </si>
  <si>
    <t>ZK-18</t>
  </si>
  <si>
    <t>ZK-23</t>
  </si>
  <si>
    <t>ZK-44</t>
  </si>
  <si>
    <t>ZK-37</t>
  </si>
  <si>
    <t>ZK-39</t>
  </si>
  <si>
    <t>ZK-13</t>
  </si>
  <si>
    <t>ZK-36</t>
  </si>
  <si>
    <t>ZK-40</t>
  </si>
  <si>
    <t>ZK-43</t>
  </si>
  <si>
    <t>ZK-45</t>
  </si>
  <si>
    <t>ZK-42</t>
  </si>
  <si>
    <t>ZK-46</t>
  </si>
  <si>
    <t>ZK-49</t>
  </si>
  <si>
    <t>ZK-57</t>
  </si>
  <si>
    <t>ZK-51</t>
  </si>
  <si>
    <t>ZK-60</t>
  </si>
  <si>
    <t>ZK-55</t>
  </si>
  <si>
    <t>ZK-58</t>
  </si>
  <si>
    <t>ZK-53</t>
  </si>
  <si>
    <t>ZK-54</t>
  </si>
  <si>
    <t>ZK-48</t>
  </si>
  <si>
    <t>ZK-50</t>
  </si>
  <si>
    <t>ZK-56</t>
  </si>
  <si>
    <t>ZKJ-3</t>
  </si>
  <si>
    <t>ZKJ-2</t>
  </si>
  <si>
    <t>ZKJ-1</t>
  </si>
  <si>
    <t>ZKX-13</t>
  </si>
  <si>
    <t>ZKX-9</t>
  </si>
  <si>
    <t>ZKX-5</t>
  </si>
  <si>
    <t>ZKX-8</t>
  </si>
  <si>
    <t>ZKX-1</t>
  </si>
  <si>
    <t>ZKX-17</t>
  </si>
  <si>
    <t>ZKX-4</t>
  </si>
  <si>
    <t>ZKX-14</t>
  </si>
  <si>
    <t>ZKX-10</t>
  </si>
  <si>
    <t>ZKX-12</t>
  </si>
  <si>
    <t>ZKX-15</t>
  </si>
  <si>
    <t>ZKX-6</t>
  </si>
  <si>
    <t>ZKX-2</t>
  </si>
  <si>
    <t>ZKX-7</t>
  </si>
  <si>
    <t>ZKX-3</t>
  </si>
  <si>
    <t>ZKX-11</t>
  </si>
  <si>
    <t>ZKX-16</t>
  </si>
  <si>
    <t>ZKXZ-1</t>
  </si>
  <si>
    <t>ZKXZ-2</t>
  </si>
  <si>
    <t>RIG-1</t>
  </si>
  <si>
    <t>RIG-2</t>
  </si>
  <si>
    <t>RIG-3</t>
  </si>
  <si>
    <t>RIG-4</t>
  </si>
  <si>
    <t>RIG-8</t>
  </si>
  <si>
    <t>RIG-9</t>
  </si>
  <si>
    <t>RIG-10</t>
  </si>
  <si>
    <t>RIG-12</t>
  </si>
  <si>
    <t>RIG-13</t>
  </si>
  <si>
    <t>RIG-17</t>
  </si>
  <si>
    <t>RIG-18</t>
  </si>
  <si>
    <t>RIG-19</t>
  </si>
  <si>
    <t>RIG-5</t>
  </si>
  <si>
    <t>RIG-6</t>
  </si>
  <si>
    <t>RIG-7</t>
  </si>
  <si>
    <t>RIG-11</t>
  </si>
  <si>
    <t>RIG-15</t>
  </si>
  <si>
    <t>RIG-16</t>
  </si>
  <si>
    <t>周可儿</t>
    <phoneticPr fontId="2" type="noConversion"/>
  </si>
  <si>
    <t>派大星</t>
    <phoneticPr fontId="2" type="noConversion"/>
  </si>
  <si>
    <t>公孙离</t>
    <phoneticPr fontId="2" type="noConversion"/>
  </si>
  <si>
    <t>李海绵</t>
    <phoneticPr fontId="2" type="noConversion"/>
  </si>
  <si>
    <t>杰瑞</t>
    <phoneticPr fontId="2" type="noConversion"/>
  </si>
  <si>
    <t>Tim</t>
    <phoneticPr fontId="2" type="noConversion"/>
  </si>
  <si>
    <t>Cook</t>
    <phoneticPr fontId="2" type="noConversion"/>
  </si>
  <si>
    <t>Jack</t>
    <phoneticPr fontId="2" type="noConversion"/>
  </si>
  <si>
    <t>Rose</t>
    <phoneticPr fontId="2" type="noConversion"/>
  </si>
  <si>
    <t>汤姆猫</t>
    <phoneticPr fontId="2" type="noConversion"/>
  </si>
  <si>
    <t>王二哈</t>
    <phoneticPr fontId="2" type="noConversion"/>
  </si>
  <si>
    <t>雷震子</t>
    <phoneticPr fontId="2" type="noConversion"/>
  </si>
  <si>
    <t>黑马喽</t>
    <phoneticPr fontId="2" type="noConversion"/>
  </si>
  <si>
    <t>本文件为示例数据，仅用于演示自动化日报工具功能，不含任何真实项目信息。</t>
    <phoneticPr fontId="2" type="noConversion"/>
  </si>
  <si>
    <t>人数</t>
    <phoneticPr fontId="2" type="noConversion"/>
  </si>
  <si>
    <t>累计钻进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</si>
</sst>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m&quot;月&quot;d&quot;日&quot;;@"/>
  </numFmts>
  <fonts count="11">
    <font>
      <sz val="11"/>
      <color theme="1"/>
      <name val="等线"/>
      <family val="2"/>
      <scheme val="minor"/>
    </font>
    <font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等线"/>
      <family val="2"/>
      <scheme val="minor"/>
    </font>
    <font>
      <b/>
      <sz val="10"/>
      <name val="微软雅黑"/>
      <family val="2"/>
      <charset val="134"/>
    </font>
    <font>
      <sz val="11"/>
      <name val="等线"/>
      <family val="2"/>
      <scheme val="minor"/>
    </font>
    <font>
      <sz val="2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6" fontId="3" fillId="3" borderId="6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2" fontId="3" fillId="3" borderId="7" xfId="0" applyNumberFormat="1" applyFont="1" applyFill="1" applyBorder="1" applyAlignment="1">
      <alignment horizontal="center" vertical="center"/>
    </xf>
    <xf numFmtId="14" fontId="3" fillId="3" borderId="7" xfId="0" applyNumberFormat="1" applyFont="1" applyFill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2" fontId="3" fillId="4" borderId="7" xfId="0" applyNumberFormat="1" applyFont="1" applyFill="1" applyBorder="1" applyAlignment="1">
      <alignment horizontal="center" vertical="center"/>
    </xf>
    <xf numFmtId="14" fontId="3" fillId="4" borderId="7" xfId="0" applyNumberFormat="1" applyFont="1" applyFill="1" applyBorder="1" applyAlignment="1">
      <alignment horizontal="center" vertical="center"/>
    </xf>
    <xf numFmtId="2" fontId="3" fillId="4" borderId="6" xfId="0" applyNumberFormat="1" applyFont="1" applyFill="1" applyBorder="1" applyAlignment="1">
      <alignment horizontal="center" vertical="center"/>
    </xf>
    <xf numFmtId="2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176" fontId="3" fillId="3" borderId="5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8B46-A28A-4956-9C0B-1E2CCBF62C50}">
  <sheetPr codeName="Sheet1"/>
  <dimension ref="A1:S93"/>
  <sheetViews>
    <sheetView tabSelected="1" topLeftCell="A19" zoomScale="85" zoomScaleNormal="85" workbookViewId="0">
      <selection activeCell="I25" sqref="I25"/>
    </sheetView>
  </sheetViews>
  <sheetFormatPr defaultColWidth="9" defaultRowHeight="15.6"/>
  <cols>
    <col min="1" max="1" width="9.21875" style="1" bestFit="1" customWidth="1"/>
    <col min="2" max="2" width="11.109375" style="1" bestFit="1" customWidth="1"/>
    <col min="3" max="3" width="13" style="1" customWidth="1"/>
    <col min="4" max="4" width="12.109375" style="1" customWidth="1"/>
    <col min="5" max="6" width="13" style="1" bestFit="1" customWidth="1"/>
    <col min="7" max="8" width="13" style="1" customWidth="1"/>
    <col min="9" max="9" width="12.77734375" style="1" customWidth="1"/>
    <col min="10" max="11" width="13" style="1" customWidth="1"/>
    <col min="12" max="12" width="9.21875" style="1" customWidth="1"/>
    <col min="13" max="13" width="7.109375" style="1" customWidth="1"/>
    <col min="14" max="14" width="11.21875" style="1" bestFit="1" customWidth="1"/>
    <col min="15" max="15" width="11.109375" style="1" bestFit="1" customWidth="1"/>
    <col min="16" max="17" width="13.21875" style="1" bestFit="1" customWidth="1"/>
    <col min="18" max="18" width="9.6640625" style="1" bestFit="1" customWidth="1"/>
    <col min="19" max="16384" width="9" style="1"/>
  </cols>
  <sheetData>
    <row r="1" spans="1:19" ht="34.200000000000003" customHeight="1">
      <c r="A1" s="75" t="str">
        <f ca="1">"xx钻探项目日报（"&amp;TEXT(TODAY(),"yyyy年m月d日")&amp;"）"</f>
        <v>xx钻探项目日报（2025年10月1日）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9" ht="22.2">
      <c r="A2" s="74" t="s">
        <v>129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1:19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9" ht="17.399999999999999">
      <c r="A4" s="5">
        <v>1</v>
      </c>
      <c r="B4" s="6" t="s">
        <v>44</v>
      </c>
      <c r="C4" s="7" t="s">
        <v>113</v>
      </c>
      <c r="D4" s="7" t="str">
        <f t="shared" ref="D4:D57" si="0">VLOOKUP(C4,$A$71:$L$89,12,FALSE)</f>
        <v>王二哈</v>
      </c>
      <c r="E4" s="8">
        <v>45901</v>
      </c>
      <c r="F4" s="7">
        <v>158.58000000000001</v>
      </c>
      <c r="G4" s="7"/>
      <c r="H4" s="7"/>
      <c r="I4" s="9"/>
      <c r="J4" s="7">
        <v>160.13</v>
      </c>
      <c r="K4" s="8">
        <v>45903</v>
      </c>
      <c r="L4" s="8" t="s">
        <v>13</v>
      </c>
      <c r="M4" s="7"/>
      <c r="N4" s="10"/>
    </row>
    <row r="5" spans="1:19" ht="17.399999999999999">
      <c r="A5" s="5">
        <v>2</v>
      </c>
      <c r="B5" s="6" t="s">
        <v>45</v>
      </c>
      <c r="C5" s="7" t="s">
        <v>110</v>
      </c>
      <c r="D5" s="7" t="str">
        <f t="shared" si="0"/>
        <v>Jack</v>
      </c>
      <c r="E5" s="8">
        <v>45901</v>
      </c>
      <c r="F5" s="7">
        <v>148.69</v>
      </c>
      <c r="G5" s="7"/>
      <c r="H5" s="7"/>
      <c r="I5" s="9"/>
      <c r="J5" s="7">
        <v>149.16999999999999</v>
      </c>
      <c r="K5" s="8">
        <v>45903</v>
      </c>
      <c r="L5" s="8" t="s">
        <v>13</v>
      </c>
      <c r="M5" s="7"/>
      <c r="N5" s="10"/>
      <c r="S5" s="11"/>
    </row>
    <row r="6" spans="1:19" ht="17.399999999999999">
      <c r="A6" s="5">
        <v>3</v>
      </c>
      <c r="B6" s="6" t="s">
        <v>46</v>
      </c>
      <c r="C6" s="7" t="s">
        <v>111</v>
      </c>
      <c r="D6" s="7" t="str">
        <f t="shared" si="0"/>
        <v>Rose</v>
      </c>
      <c r="E6" s="8">
        <v>45902</v>
      </c>
      <c r="F6" s="7">
        <v>199.14</v>
      </c>
      <c r="G6" s="7"/>
      <c r="H6" s="7"/>
      <c r="I6" s="9"/>
      <c r="J6" s="7">
        <v>199.14</v>
      </c>
      <c r="K6" s="8">
        <v>45904</v>
      </c>
      <c r="L6" s="8" t="s">
        <v>13</v>
      </c>
      <c r="M6" s="7"/>
      <c r="N6" s="10"/>
      <c r="S6" s="11"/>
    </row>
    <row r="7" spans="1:19" ht="17.399999999999999">
      <c r="A7" s="5">
        <v>4</v>
      </c>
      <c r="B7" s="6" t="s">
        <v>47</v>
      </c>
      <c r="C7" s="7" t="s">
        <v>110</v>
      </c>
      <c r="D7" s="7" t="str">
        <f t="shared" si="0"/>
        <v>Jack</v>
      </c>
      <c r="E7" s="8">
        <v>45903</v>
      </c>
      <c r="F7" s="7">
        <v>124</v>
      </c>
      <c r="G7" s="9"/>
      <c r="H7" s="7"/>
      <c r="I7" s="9"/>
      <c r="J7" s="7">
        <v>124.03</v>
      </c>
      <c r="K7" s="8">
        <v>45905</v>
      </c>
      <c r="L7" s="8" t="s">
        <v>13</v>
      </c>
      <c r="M7" s="7"/>
      <c r="N7" s="10"/>
      <c r="S7" s="11"/>
    </row>
    <row r="8" spans="1:19" ht="17.399999999999999">
      <c r="A8" s="5">
        <v>5</v>
      </c>
      <c r="B8" s="6" t="s">
        <v>48</v>
      </c>
      <c r="C8" s="7" t="s">
        <v>114</v>
      </c>
      <c r="D8" s="7" t="str">
        <f t="shared" si="0"/>
        <v>雷震子</v>
      </c>
      <c r="E8" s="8">
        <v>45905</v>
      </c>
      <c r="F8" s="7">
        <v>330.82</v>
      </c>
      <c r="G8" s="7"/>
      <c r="H8" s="7"/>
      <c r="I8" s="9"/>
      <c r="J8" s="7">
        <v>294.60000000000002</v>
      </c>
      <c r="K8" s="8">
        <v>45909</v>
      </c>
      <c r="L8" s="8" t="s">
        <v>13</v>
      </c>
      <c r="M8" s="7"/>
      <c r="N8" s="10"/>
      <c r="S8" s="11"/>
    </row>
    <row r="9" spans="1:19" ht="17.399999999999999">
      <c r="A9" s="5">
        <v>6</v>
      </c>
      <c r="B9" s="6" t="s">
        <v>49</v>
      </c>
      <c r="C9" s="7" t="s">
        <v>104</v>
      </c>
      <c r="D9" s="7" t="str">
        <f t="shared" si="0"/>
        <v>派大星</v>
      </c>
      <c r="E9" s="8">
        <v>45905</v>
      </c>
      <c r="F9" s="7">
        <v>411.18</v>
      </c>
      <c r="G9" s="9"/>
      <c r="H9" s="7"/>
      <c r="I9" s="9"/>
      <c r="J9" s="7">
        <v>375.67</v>
      </c>
      <c r="K9" s="8">
        <v>45908</v>
      </c>
      <c r="L9" s="8" t="s">
        <v>13</v>
      </c>
      <c r="M9" s="7"/>
      <c r="N9" s="10"/>
      <c r="S9" s="11"/>
    </row>
    <row r="10" spans="1:19" ht="17.399999999999999">
      <c r="A10" s="5">
        <v>7</v>
      </c>
      <c r="B10" s="6" t="s">
        <v>50</v>
      </c>
      <c r="C10" s="7" t="s">
        <v>102</v>
      </c>
      <c r="D10" s="7" t="str">
        <f t="shared" si="0"/>
        <v>周可儿</v>
      </c>
      <c r="E10" s="8">
        <v>45908</v>
      </c>
      <c r="F10" s="7">
        <v>429.63</v>
      </c>
      <c r="G10" s="9"/>
      <c r="H10" s="7"/>
      <c r="I10" s="9"/>
      <c r="J10" s="7">
        <v>421.29</v>
      </c>
      <c r="K10" s="8">
        <v>45913</v>
      </c>
      <c r="L10" s="8" t="s">
        <v>13</v>
      </c>
      <c r="M10" s="7"/>
      <c r="N10" s="10"/>
      <c r="S10" s="11"/>
    </row>
    <row r="11" spans="1:19" ht="17.399999999999999">
      <c r="A11" s="5">
        <v>8</v>
      </c>
      <c r="B11" s="6" t="s">
        <v>51</v>
      </c>
      <c r="C11" s="7" t="s">
        <v>112</v>
      </c>
      <c r="D11" s="7" t="str">
        <f t="shared" si="0"/>
        <v>汤姆猫</v>
      </c>
      <c r="E11" s="8">
        <v>45907</v>
      </c>
      <c r="F11" s="7">
        <v>342.62</v>
      </c>
      <c r="G11" s="9"/>
      <c r="H11" s="7"/>
      <c r="I11" s="9"/>
      <c r="J11" s="7">
        <v>323.95999999999998</v>
      </c>
      <c r="K11" s="8">
        <v>45911</v>
      </c>
      <c r="L11" s="8" t="s">
        <v>13</v>
      </c>
      <c r="M11" s="7"/>
      <c r="N11" s="10"/>
      <c r="S11" s="11"/>
    </row>
    <row r="12" spans="1:19" ht="17.399999999999999">
      <c r="A12" s="5">
        <v>9</v>
      </c>
      <c r="B12" s="6" t="s">
        <v>52</v>
      </c>
      <c r="C12" s="7" t="s">
        <v>106</v>
      </c>
      <c r="D12" s="7" t="str">
        <f t="shared" si="0"/>
        <v>李海绵</v>
      </c>
      <c r="E12" s="8">
        <v>45908</v>
      </c>
      <c r="F12" s="7">
        <v>375.01</v>
      </c>
      <c r="G12" s="9"/>
      <c r="H12" s="7"/>
      <c r="I12" s="9"/>
      <c r="J12" s="7">
        <v>366.92</v>
      </c>
      <c r="K12" s="8">
        <v>45911</v>
      </c>
      <c r="L12" s="8" t="s">
        <v>13</v>
      </c>
      <c r="M12" s="7"/>
      <c r="N12" s="10"/>
      <c r="S12" s="11"/>
    </row>
    <row r="13" spans="1:19" ht="17.399999999999999">
      <c r="A13" s="5">
        <v>10</v>
      </c>
      <c r="B13" s="6" t="s">
        <v>53</v>
      </c>
      <c r="C13" s="7" t="s">
        <v>105</v>
      </c>
      <c r="D13" s="7" t="str">
        <f t="shared" si="0"/>
        <v>公孙离</v>
      </c>
      <c r="E13" s="8">
        <v>45908</v>
      </c>
      <c r="F13" s="7">
        <v>333.11</v>
      </c>
      <c r="G13" s="9"/>
      <c r="H13" s="7"/>
      <c r="I13" s="9"/>
      <c r="J13" s="7">
        <v>316.52999999999997</v>
      </c>
      <c r="K13" s="8">
        <v>45910</v>
      </c>
      <c r="L13" s="8" t="s">
        <v>13</v>
      </c>
      <c r="M13" s="7"/>
      <c r="N13" s="10"/>
      <c r="S13" s="11"/>
    </row>
    <row r="14" spans="1:19" ht="17.399999999999999">
      <c r="A14" s="5">
        <v>11</v>
      </c>
      <c r="B14" s="6" t="s">
        <v>54</v>
      </c>
      <c r="C14" s="7" t="s">
        <v>104</v>
      </c>
      <c r="D14" s="7" t="str">
        <f t="shared" si="0"/>
        <v>派大星</v>
      </c>
      <c r="E14" s="8">
        <v>45908</v>
      </c>
      <c r="F14" s="7">
        <v>407.62</v>
      </c>
      <c r="G14" s="9"/>
      <c r="H14" s="7"/>
      <c r="I14" s="9"/>
      <c r="J14" s="7">
        <v>368.84</v>
      </c>
      <c r="K14" s="8">
        <v>45913</v>
      </c>
      <c r="L14" s="8" t="s">
        <v>13</v>
      </c>
      <c r="M14" s="7"/>
      <c r="N14" s="10"/>
      <c r="S14" s="11"/>
    </row>
    <row r="15" spans="1:19" ht="17.399999999999999">
      <c r="A15" s="5">
        <v>12</v>
      </c>
      <c r="B15" s="12" t="s">
        <v>55</v>
      </c>
      <c r="C15" s="5" t="s">
        <v>111</v>
      </c>
      <c r="D15" s="7" t="str">
        <f t="shared" si="0"/>
        <v>Rose</v>
      </c>
      <c r="E15" s="13">
        <v>45910</v>
      </c>
      <c r="F15" s="14">
        <v>100.43</v>
      </c>
      <c r="G15" s="15"/>
      <c r="H15" s="14"/>
      <c r="I15" s="15"/>
      <c r="J15" s="14">
        <v>100.43</v>
      </c>
      <c r="K15" s="13">
        <v>45912</v>
      </c>
      <c r="L15" s="13" t="s">
        <v>13</v>
      </c>
      <c r="M15" s="14"/>
      <c r="N15" s="10"/>
      <c r="S15" s="11"/>
    </row>
    <row r="16" spans="1:19" ht="17.399999999999999">
      <c r="A16" s="5">
        <v>13</v>
      </c>
      <c r="B16" s="12" t="s">
        <v>76</v>
      </c>
      <c r="C16" s="5" t="s">
        <v>105</v>
      </c>
      <c r="D16" s="7" t="str">
        <f t="shared" si="0"/>
        <v>公孙离</v>
      </c>
      <c r="E16" s="13">
        <v>45910</v>
      </c>
      <c r="F16" s="14">
        <v>278.51</v>
      </c>
      <c r="G16" s="15"/>
      <c r="H16" s="14"/>
      <c r="I16" s="15"/>
      <c r="J16" s="14">
        <v>241.18</v>
      </c>
      <c r="K16" s="13">
        <v>45911</v>
      </c>
      <c r="L16" s="13" t="s">
        <v>13</v>
      </c>
      <c r="M16" s="14"/>
      <c r="N16" s="10"/>
      <c r="S16" s="11"/>
    </row>
    <row r="17" spans="1:19" ht="17.399999999999999">
      <c r="A17" s="5">
        <v>14</v>
      </c>
      <c r="B17" s="12" t="s">
        <v>56</v>
      </c>
      <c r="C17" s="5" t="s">
        <v>112</v>
      </c>
      <c r="D17" s="7" t="str">
        <f t="shared" si="0"/>
        <v>汤姆猫</v>
      </c>
      <c r="E17" s="13">
        <v>45911</v>
      </c>
      <c r="F17" s="14">
        <v>470.8</v>
      </c>
      <c r="G17" s="15"/>
      <c r="H17" s="14"/>
      <c r="I17" s="15"/>
      <c r="J17" s="14">
        <v>470.97</v>
      </c>
      <c r="K17" s="13">
        <v>45918</v>
      </c>
      <c r="L17" s="13" t="s">
        <v>13</v>
      </c>
      <c r="M17" s="14"/>
      <c r="N17" s="10"/>
      <c r="S17" s="11"/>
    </row>
    <row r="18" spans="1:19" ht="17.399999999999999">
      <c r="A18" s="5">
        <v>15</v>
      </c>
      <c r="B18" s="12" t="s">
        <v>57</v>
      </c>
      <c r="C18" s="5" t="s">
        <v>106</v>
      </c>
      <c r="D18" s="7" t="str">
        <f t="shared" si="0"/>
        <v>李海绵</v>
      </c>
      <c r="E18" s="13">
        <v>45911</v>
      </c>
      <c r="F18" s="14">
        <v>522.37</v>
      </c>
      <c r="G18" s="15"/>
      <c r="H18" s="14"/>
      <c r="I18" s="15"/>
      <c r="J18" s="14">
        <v>504.81</v>
      </c>
      <c r="K18" s="13">
        <v>45915</v>
      </c>
      <c r="L18" s="13" t="s">
        <v>13</v>
      </c>
      <c r="M18" s="14"/>
      <c r="N18" s="10"/>
      <c r="S18" s="11"/>
    </row>
    <row r="19" spans="1:19" ht="17.399999999999999">
      <c r="A19" s="5">
        <v>16</v>
      </c>
      <c r="B19" s="12" t="s">
        <v>58</v>
      </c>
      <c r="C19" s="5" t="s">
        <v>114</v>
      </c>
      <c r="D19" s="7" t="str">
        <f t="shared" si="0"/>
        <v>雷震子</v>
      </c>
      <c r="E19" s="13">
        <v>45911</v>
      </c>
      <c r="F19" s="14">
        <v>300.75</v>
      </c>
      <c r="G19" s="15"/>
      <c r="H19" s="14"/>
      <c r="I19" s="15"/>
      <c r="J19" s="14">
        <v>282.37</v>
      </c>
      <c r="K19" s="13">
        <v>45913</v>
      </c>
      <c r="L19" s="13" t="s">
        <v>13</v>
      </c>
      <c r="M19" s="14"/>
      <c r="N19" s="10"/>
      <c r="S19" s="11"/>
    </row>
    <row r="20" spans="1:19" ht="17.399999999999999">
      <c r="A20" s="5">
        <v>17</v>
      </c>
      <c r="B20" s="12" t="s">
        <v>77</v>
      </c>
      <c r="C20" s="5" t="s">
        <v>105</v>
      </c>
      <c r="D20" s="7" t="str">
        <f t="shared" si="0"/>
        <v>公孙离</v>
      </c>
      <c r="E20" s="13">
        <v>45911</v>
      </c>
      <c r="F20" s="14">
        <v>171.98</v>
      </c>
      <c r="G20" s="15"/>
      <c r="H20" s="14"/>
      <c r="I20" s="15"/>
      <c r="J20" s="14">
        <v>140.05000000000001</v>
      </c>
      <c r="K20" s="13">
        <v>45912</v>
      </c>
      <c r="L20" s="13" t="s">
        <v>13</v>
      </c>
      <c r="M20" s="14"/>
      <c r="N20" s="10"/>
      <c r="S20" s="11"/>
    </row>
    <row r="21" spans="1:19" ht="17.399999999999999">
      <c r="A21" s="5">
        <v>18</v>
      </c>
      <c r="B21" s="12" t="s">
        <v>59</v>
      </c>
      <c r="C21" s="5" t="s">
        <v>115</v>
      </c>
      <c r="D21" s="7" t="str">
        <f t="shared" si="0"/>
        <v>黑马喽</v>
      </c>
      <c r="E21" s="13">
        <v>45912</v>
      </c>
      <c r="F21" s="14">
        <v>420.01</v>
      </c>
      <c r="G21" s="15"/>
      <c r="H21" s="14"/>
      <c r="I21" s="15"/>
      <c r="J21" s="14">
        <v>417.85</v>
      </c>
      <c r="K21" s="13">
        <v>45920</v>
      </c>
      <c r="L21" s="13" t="s">
        <v>13</v>
      </c>
      <c r="M21" s="14"/>
      <c r="N21" s="10"/>
      <c r="S21" s="11"/>
    </row>
    <row r="22" spans="1:19" ht="17.399999999999999">
      <c r="A22" s="5">
        <v>19</v>
      </c>
      <c r="B22" s="12" t="s">
        <v>96</v>
      </c>
      <c r="C22" s="5" t="s">
        <v>105</v>
      </c>
      <c r="D22" s="7" t="str">
        <f t="shared" si="0"/>
        <v>公孙离</v>
      </c>
      <c r="E22" s="13">
        <v>45913</v>
      </c>
      <c r="F22" s="14">
        <v>73.7</v>
      </c>
      <c r="G22" s="15"/>
      <c r="H22" s="14"/>
      <c r="I22" s="15"/>
      <c r="J22" s="14">
        <v>92.2</v>
      </c>
      <c r="K22" s="13">
        <v>45913</v>
      </c>
      <c r="L22" s="13" t="s">
        <v>13</v>
      </c>
      <c r="M22" s="14"/>
      <c r="N22" s="10"/>
      <c r="S22" s="11"/>
    </row>
    <row r="23" spans="1:19" ht="17.399999999999999">
      <c r="A23" s="5">
        <v>20</v>
      </c>
      <c r="B23" s="12" t="s">
        <v>97</v>
      </c>
      <c r="C23" s="5" t="s">
        <v>111</v>
      </c>
      <c r="D23" s="7" t="str">
        <f t="shared" si="0"/>
        <v>Rose</v>
      </c>
      <c r="E23" s="13">
        <v>45913</v>
      </c>
      <c r="F23" s="14">
        <v>137.87</v>
      </c>
      <c r="G23" s="15"/>
      <c r="H23" s="14"/>
      <c r="I23" s="15"/>
      <c r="J23" s="14">
        <v>138.75</v>
      </c>
      <c r="K23" s="13">
        <v>45915</v>
      </c>
      <c r="L23" s="13" t="s">
        <v>13</v>
      </c>
      <c r="M23" s="14"/>
      <c r="N23" s="10"/>
      <c r="S23" s="11"/>
    </row>
    <row r="24" spans="1:19" ht="17.399999999999999">
      <c r="A24" s="5">
        <v>21</v>
      </c>
      <c r="B24" s="12" t="s">
        <v>79</v>
      </c>
      <c r="C24" s="5" t="s">
        <v>105</v>
      </c>
      <c r="D24" s="7" t="str">
        <f t="shared" si="0"/>
        <v>公孙离</v>
      </c>
      <c r="E24" s="13">
        <v>45913</v>
      </c>
      <c r="F24" s="14">
        <v>127.22</v>
      </c>
      <c r="G24" s="15"/>
      <c r="H24" s="14"/>
      <c r="I24" s="15"/>
      <c r="J24" s="14">
        <v>127.8</v>
      </c>
      <c r="K24" s="13">
        <v>45914</v>
      </c>
      <c r="L24" s="13" t="s">
        <v>13</v>
      </c>
      <c r="M24" s="14"/>
      <c r="N24" s="10"/>
      <c r="S24" s="11"/>
    </row>
    <row r="25" spans="1:19" ht="17.399999999999999">
      <c r="A25" s="5">
        <v>22</v>
      </c>
      <c r="B25" s="12" t="s">
        <v>60</v>
      </c>
      <c r="C25" s="5" t="s">
        <v>102</v>
      </c>
      <c r="D25" s="7" t="str">
        <f t="shared" si="0"/>
        <v>周可儿</v>
      </c>
      <c r="E25" s="13">
        <v>45914</v>
      </c>
      <c r="F25" s="14">
        <v>538.71</v>
      </c>
      <c r="G25" s="15"/>
      <c r="H25" s="14"/>
      <c r="I25" s="15"/>
      <c r="J25" s="14">
        <v>525.91999999999996</v>
      </c>
      <c r="K25" s="13">
        <v>45922</v>
      </c>
      <c r="L25" s="13" t="s">
        <v>13</v>
      </c>
      <c r="M25" s="14"/>
      <c r="N25" s="10"/>
      <c r="S25" s="11"/>
    </row>
    <row r="26" spans="1:19" ht="17.399999999999999">
      <c r="A26" s="5">
        <v>23</v>
      </c>
      <c r="B26" s="12" t="s">
        <v>80</v>
      </c>
      <c r="C26" s="5" t="s">
        <v>105</v>
      </c>
      <c r="D26" s="7" t="str">
        <f t="shared" si="0"/>
        <v>公孙离</v>
      </c>
      <c r="E26" s="13">
        <v>45914</v>
      </c>
      <c r="F26" s="14">
        <v>114.62</v>
      </c>
      <c r="G26" s="15"/>
      <c r="H26" s="14"/>
      <c r="I26" s="15"/>
      <c r="J26" s="14">
        <v>114.88</v>
      </c>
      <c r="K26" s="13">
        <v>45914</v>
      </c>
      <c r="L26" s="13" t="s">
        <v>13</v>
      </c>
      <c r="M26" s="7"/>
      <c r="N26" s="10"/>
      <c r="S26" s="11"/>
    </row>
    <row r="27" spans="1:19" ht="17.399999999999999">
      <c r="A27" s="5">
        <v>24</v>
      </c>
      <c r="B27" s="12" t="s">
        <v>61</v>
      </c>
      <c r="C27" s="5" t="s">
        <v>104</v>
      </c>
      <c r="D27" s="7" t="str">
        <f t="shared" si="0"/>
        <v>派大星</v>
      </c>
      <c r="E27" s="13">
        <v>45914</v>
      </c>
      <c r="F27" s="14">
        <v>530.51</v>
      </c>
      <c r="G27" s="15"/>
      <c r="H27" s="15"/>
      <c r="I27" s="15"/>
      <c r="J27" s="14">
        <v>517.67999999999995</v>
      </c>
      <c r="K27" s="13">
        <v>45923</v>
      </c>
      <c r="L27" s="13" t="s">
        <v>13</v>
      </c>
      <c r="M27" s="14"/>
      <c r="N27" s="10"/>
      <c r="S27" s="11"/>
    </row>
    <row r="28" spans="1:19" ht="17.399999999999999">
      <c r="A28" s="5">
        <v>25</v>
      </c>
      <c r="B28" s="12" t="s">
        <v>81</v>
      </c>
      <c r="C28" s="5" t="s">
        <v>105</v>
      </c>
      <c r="D28" s="7" t="str">
        <f t="shared" si="0"/>
        <v>公孙离</v>
      </c>
      <c r="E28" s="13">
        <v>45915</v>
      </c>
      <c r="F28" s="14">
        <v>168.22</v>
      </c>
      <c r="G28" s="15"/>
      <c r="H28" s="14"/>
      <c r="I28" s="15"/>
      <c r="J28" s="14">
        <v>168.4</v>
      </c>
      <c r="K28" s="13">
        <v>45915</v>
      </c>
      <c r="L28" s="13" t="s">
        <v>13</v>
      </c>
      <c r="M28" s="7"/>
      <c r="N28" s="10"/>
      <c r="S28" s="11"/>
    </row>
    <row r="29" spans="1:19" ht="17.399999999999999">
      <c r="A29" s="5">
        <v>26</v>
      </c>
      <c r="B29" s="12" t="s">
        <v>82</v>
      </c>
      <c r="C29" s="5" t="s">
        <v>111</v>
      </c>
      <c r="D29" s="7" t="str">
        <f t="shared" si="0"/>
        <v>Rose</v>
      </c>
      <c r="E29" s="13">
        <v>45915</v>
      </c>
      <c r="F29" s="14">
        <v>87.59</v>
      </c>
      <c r="G29" s="15"/>
      <c r="H29" s="14"/>
      <c r="I29" s="15"/>
      <c r="J29" s="14">
        <v>87.79</v>
      </c>
      <c r="K29" s="13">
        <v>45916</v>
      </c>
      <c r="L29" s="13" t="s">
        <v>13</v>
      </c>
      <c r="M29" s="7"/>
      <c r="N29" s="10"/>
      <c r="S29" s="11"/>
    </row>
    <row r="30" spans="1:19" ht="17.399999999999999">
      <c r="A30" s="5">
        <v>27</v>
      </c>
      <c r="B30" s="12" t="s">
        <v>83</v>
      </c>
      <c r="C30" s="5" t="s">
        <v>105</v>
      </c>
      <c r="D30" s="7" t="str">
        <f t="shared" si="0"/>
        <v>公孙离</v>
      </c>
      <c r="E30" s="13">
        <v>45915</v>
      </c>
      <c r="F30" s="14">
        <v>138.38999999999999</v>
      </c>
      <c r="G30" s="15"/>
      <c r="H30" s="14"/>
      <c r="I30" s="15"/>
      <c r="J30" s="14">
        <v>139.83000000000001</v>
      </c>
      <c r="K30" s="13">
        <v>45916</v>
      </c>
      <c r="L30" s="13" t="s">
        <v>13</v>
      </c>
      <c r="M30" s="7"/>
      <c r="N30" s="10"/>
      <c r="S30" s="11"/>
    </row>
    <row r="31" spans="1:19" ht="17.399999999999999">
      <c r="A31" s="5">
        <v>28</v>
      </c>
      <c r="B31" s="12" t="s">
        <v>62</v>
      </c>
      <c r="C31" s="5" t="s">
        <v>106</v>
      </c>
      <c r="D31" s="7" t="str">
        <f t="shared" si="0"/>
        <v>李海绵</v>
      </c>
      <c r="E31" s="13">
        <v>45915</v>
      </c>
      <c r="F31" s="14">
        <v>507.59</v>
      </c>
      <c r="G31" s="15"/>
      <c r="H31" s="14"/>
      <c r="I31" s="15"/>
      <c r="J31" s="14">
        <v>491.53</v>
      </c>
      <c r="K31" s="13">
        <v>45921</v>
      </c>
      <c r="L31" s="13" t="s">
        <v>13</v>
      </c>
      <c r="M31" s="14"/>
      <c r="N31" s="10"/>
      <c r="S31" s="11"/>
    </row>
    <row r="32" spans="1:19" ht="17.399999999999999">
      <c r="A32" s="5">
        <v>29</v>
      </c>
      <c r="B32" s="12" t="s">
        <v>63</v>
      </c>
      <c r="C32" s="5" t="s">
        <v>114</v>
      </c>
      <c r="D32" s="7" t="str">
        <f t="shared" si="0"/>
        <v>雷震子</v>
      </c>
      <c r="E32" s="13">
        <v>45916</v>
      </c>
      <c r="F32" s="14">
        <v>499.55</v>
      </c>
      <c r="G32" s="15"/>
      <c r="H32" s="14"/>
      <c r="I32" s="15"/>
      <c r="J32" s="14">
        <v>490.24</v>
      </c>
      <c r="K32" s="13">
        <v>45924</v>
      </c>
      <c r="L32" s="13" t="s">
        <v>13</v>
      </c>
      <c r="M32" s="14"/>
      <c r="N32" s="10"/>
      <c r="S32" s="11"/>
    </row>
    <row r="33" spans="1:19" ht="17.399999999999999">
      <c r="A33" s="5">
        <v>30</v>
      </c>
      <c r="B33" s="12" t="s">
        <v>84</v>
      </c>
      <c r="C33" s="5" t="s">
        <v>105</v>
      </c>
      <c r="D33" s="7" t="str">
        <f t="shared" si="0"/>
        <v>公孙离</v>
      </c>
      <c r="E33" s="13">
        <v>45916</v>
      </c>
      <c r="F33" s="14">
        <v>113.57</v>
      </c>
      <c r="G33" s="15"/>
      <c r="H33" s="14"/>
      <c r="I33" s="15"/>
      <c r="J33" s="14">
        <v>114.65</v>
      </c>
      <c r="K33" s="13">
        <v>45917</v>
      </c>
      <c r="L33" s="13" t="s">
        <v>13</v>
      </c>
      <c r="M33" s="7"/>
      <c r="N33" s="10"/>
      <c r="S33" s="11"/>
    </row>
    <row r="34" spans="1:19" ht="17.399999999999999">
      <c r="A34" s="5">
        <v>31</v>
      </c>
      <c r="B34" s="12" t="s">
        <v>85</v>
      </c>
      <c r="C34" s="5" t="s">
        <v>111</v>
      </c>
      <c r="D34" s="7" t="str">
        <f t="shared" si="0"/>
        <v>Rose</v>
      </c>
      <c r="E34" s="13">
        <v>45916</v>
      </c>
      <c r="F34" s="14">
        <v>91.24</v>
      </c>
      <c r="G34" s="15"/>
      <c r="H34" s="14"/>
      <c r="I34" s="15"/>
      <c r="J34" s="14">
        <v>91.24</v>
      </c>
      <c r="K34" s="13">
        <v>45917</v>
      </c>
      <c r="L34" s="13" t="s">
        <v>13</v>
      </c>
      <c r="M34" s="7"/>
      <c r="N34" s="10"/>
      <c r="S34" s="11"/>
    </row>
    <row r="35" spans="1:19" ht="17.399999999999999">
      <c r="A35" s="5">
        <v>32</v>
      </c>
      <c r="B35" s="12" t="s">
        <v>86</v>
      </c>
      <c r="C35" s="5" t="s">
        <v>105</v>
      </c>
      <c r="D35" s="7" t="str">
        <f t="shared" si="0"/>
        <v>公孙离</v>
      </c>
      <c r="E35" s="13">
        <v>45917</v>
      </c>
      <c r="F35" s="14">
        <v>166.22</v>
      </c>
      <c r="G35" s="15"/>
      <c r="H35" s="14"/>
      <c r="I35" s="15"/>
      <c r="J35" s="14">
        <v>167.04</v>
      </c>
      <c r="K35" s="13">
        <v>45917</v>
      </c>
      <c r="L35" s="13" t="s">
        <v>13</v>
      </c>
      <c r="M35" s="7"/>
      <c r="N35" s="10"/>
      <c r="S35" s="11"/>
    </row>
    <row r="36" spans="1:19" ht="17.399999999999999">
      <c r="A36" s="5">
        <v>33</v>
      </c>
      <c r="B36" s="12" t="s">
        <v>87</v>
      </c>
      <c r="C36" s="5" t="s">
        <v>105</v>
      </c>
      <c r="D36" s="7" t="str">
        <f t="shared" si="0"/>
        <v>公孙离</v>
      </c>
      <c r="E36" s="13">
        <v>45917</v>
      </c>
      <c r="F36" s="14">
        <v>172.33</v>
      </c>
      <c r="G36" s="15"/>
      <c r="H36" s="14"/>
      <c r="I36" s="15"/>
      <c r="J36" s="14">
        <v>172.93</v>
      </c>
      <c r="K36" s="13">
        <v>45918</v>
      </c>
      <c r="L36" s="13" t="s">
        <v>13</v>
      </c>
      <c r="M36" s="7"/>
      <c r="N36" s="10"/>
      <c r="S36" s="11"/>
    </row>
    <row r="37" spans="1:19" ht="17.399999999999999">
      <c r="A37" s="5">
        <v>34</v>
      </c>
      <c r="B37" s="12" t="s">
        <v>88</v>
      </c>
      <c r="C37" s="5" t="s">
        <v>111</v>
      </c>
      <c r="D37" s="7" t="str">
        <f t="shared" si="0"/>
        <v>Rose</v>
      </c>
      <c r="E37" s="13">
        <v>45917</v>
      </c>
      <c r="F37" s="14">
        <v>115.98</v>
      </c>
      <c r="G37" s="15"/>
      <c r="H37" s="14"/>
      <c r="I37" s="15"/>
      <c r="J37" s="14">
        <v>109.34</v>
      </c>
      <c r="K37" s="13">
        <v>45919</v>
      </c>
      <c r="L37" s="13" t="s">
        <v>13</v>
      </c>
      <c r="M37" s="7"/>
      <c r="N37" s="10"/>
      <c r="S37" s="11"/>
    </row>
    <row r="38" spans="1:19" ht="17.399999999999999">
      <c r="A38" s="5">
        <v>35</v>
      </c>
      <c r="B38" s="12" t="s">
        <v>89</v>
      </c>
      <c r="C38" s="5" t="s">
        <v>105</v>
      </c>
      <c r="D38" s="7" t="str">
        <f t="shared" si="0"/>
        <v>公孙离</v>
      </c>
      <c r="E38" s="13">
        <v>45918</v>
      </c>
      <c r="F38" s="14">
        <v>139.03</v>
      </c>
      <c r="G38" s="15"/>
      <c r="H38" s="14"/>
      <c r="I38" s="15"/>
      <c r="J38" s="14">
        <v>139.86000000000001</v>
      </c>
      <c r="K38" s="13">
        <v>45918</v>
      </c>
      <c r="L38" s="13" t="s">
        <v>13</v>
      </c>
      <c r="M38" s="7"/>
      <c r="N38" s="10"/>
      <c r="S38" s="11"/>
    </row>
    <row r="39" spans="1:19" ht="17.399999999999999">
      <c r="A39" s="5">
        <v>36</v>
      </c>
      <c r="B39" s="12" t="s">
        <v>64</v>
      </c>
      <c r="C39" s="5" t="s">
        <v>112</v>
      </c>
      <c r="D39" s="7" t="str">
        <f t="shared" si="0"/>
        <v>汤姆猫</v>
      </c>
      <c r="E39" s="13">
        <v>45918</v>
      </c>
      <c r="F39" s="14">
        <v>541.63</v>
      </c>
      <c r="G39" s="15"/>
      <c r="H39" s="14"/>
      <c r="I39" s="15"/>
      <c r="J39" s="14">
        <v>538.82000000000005</v>
      </c>
      <c r="K39" s="13">
        <v>45926</v>
      </c>
      <c r="L39" s="13" t="s">
        <v>13</v>
      </c>
      <c r="M39" s="14"/>
      <c r="N39" s="10"/>
      <c r="S39" s="11"/>
    </row>
    <row r="40" spans="1:19" ht="17.399999999999999">
      <c r="A40" s="5">
        <v>37</v>
      </c>
      <c r="B40" s="12" t="s">
        <v>90</v>
      </c>
      <c r="C40" s="5" t="s">
        <v>105</v>
      </c>
      <c r="D40" s="7" t="str">
        <f t="shared" si="0"/>
        <v>公孙离</v>
      </c>
      <c r="E40" s="13">
        <v>45918</v>
      </c>
      <c r="F40" s="14">
        <v>68.319999999999993</v>
      </c>
      <c r="G40" s="15"/>
      <c r="H40" s="14"/>
      <c r="I40" s="14"/>
      <c r="J40" s="14">
        <v>68.92</v>
      </c>
      <c r="K40" s="13">
        <v>45919</v>
      </c>
      <c r="L40" s="13" t="s">
        <v>13</v>
      </c>
      <c r="M40" s="7"/>
      <c r="N40" s="10"/>
      <c r="S40" s="11"/>
    </row>
    <row r="41" spans="1:19" ht="17.399999999999999">
      <c r="A41" s="5">
        <v>38</v>
      </c>
      <c r="B41" s="12" t="s">
        <v>91</v>
      </c>
      <c r="C41" s="5" t="s">
        <v>105</v>
      </c>
      <c r="D41" s="7" t="str">
        <f t="shared" si="0"/>
        <v>公孙离</v>
      </c>
      <c r="E41" s="13">
        <v>45919</v>
      </c>
      <c r="F41" s="14">
        <v>79.78</v>
      </c>
      <c r="G41" s="15"/>
      <c r="H41" s="14"/>
      <c r="I41" s="15"/>
      <c r="J41" s="14">
        <v>80.17</v>
      </c>
      <c r="K41" s="13">
        <v>45919</v>
      </c>
      <c r="L41" s="13" t="s">
        <v>13</v>
      </c>
      <c r="M41" s="7"/>
      <c r="N41" s="10"/>
      <c r="S41" s="11"/>
    </row>
    <row r="42" spans="1:19" ht="17.399999999999999">
      <c r="A42" s="5">
        <v>39</v>
      </c>
      <c r="B42" s="12" t="s">
        <v>92</v>
      </c>
      <c r="C42" s="5" t="s">
        <v>105</v>
      </c>
      <c r="D42" s="7" t="str">
        <f t="shared" si="0"/>
        <v>公孙离</v>
      </c>
      <c r="E42" s="13">
        <v>45919</v>
      </c>
      <c r="F42" s="14">
        <v>100.8</v>
      </c>
      <c r="G42" s="15"/>
      <c r="H42" s="14"/>
      <c r="I42" s="15"/>
      <c r="J42" s="14">
        <v>100.93</v>
      </c>
      <c r="K42" s="13">
        <v>45919</v>
      </c>
      <c r="L42" s="13" t="s">
        <v>13</v>
      </c>
      <c r="M42" s="7"/>
      <c r="N42" s="10"/>
      <c r="S42" s="11"/>
    </row>
    <row r="43" spans="1:19" ht="17.399999999999999">
      <c r="A43" s="5">
        <v>40</v>
      </c>
      <c r="B43" s="12" t="s">
        <v>93</v>
      </c>
      <c r="C43" s="5" t="s">
        <v>111</v>
      </c>
      <c r="D43" s="7" t="str">
        <f t="shared" si="0"/>
        <v>Rose</v>
      </c>
      <c r="E43" s="13">
        <v>45919</v>
      </c>
      <c r="F43" s="14">
        <v>100.33</v>
      </c>
      <c r="G43" s="15"/>
      <c r="H43" s="14"/>
      <c r="I43" s="15"/>
      <c r="J43" s="14">
        <v>100.42</v>
      </c>
      <c r="K43" s="13">
        <v>45920</v>
      </c>
      <c r="L43" s="13" t="s">
        <v>13</v>
      </c>
      <c r="M43" s="7"/>
      <c r="N43" s="10"/>
      <c r="S43" s="11"/>
    </row>
    <row r="44" spans="1:19" ht="17.399999999999999">
      <c r="A44" s="5">
        <v>41</v>
      </c>
      <c r="B44" s="12" t="s">
        <v>94</v>
      </c>
      <c r="C44" s="5" t="s">
        <v>105</v>
      </c>
      <c r="D44" s="7" t="str">
        <f t="shared" si="0"/>
        <v>公孙离</v>
      </c>
      <c r="E44" s="13">
        <v>45919</v>
      </c>
      <c r="F44" s="14">
        <v>112.58</v>
      </c>
      <c r="G44" s="15"/>
      <c r="H44" s="14"/>
      <c r="I44" s="15"/>
      <c r="J44" s="14">
        <v>114.48</v>
      </c>
      <c r="K44" s="13">
        <v>45920</v>
      </c>
      <c r="L44" s="13" t="s">
        <v>13</v>
      </c>
      <c r="M44" s="7"/>
      <c r="N44" s="10"/>
      <c r="S44" s="11"/>
    </row>
    <row r="45" spans="1:19" ht="17.399999999999999">
      <c r="A45" s="5">
        <v>42</v>
      </c>
      <c r="B45" s="12" t="s">
        <v>95</v>
      </c>
      <c r="C45" s="5" t="s">
        <v>105</v>
      </c>
      <c r="D45" s="7" t="str">
        <f t="shared" si="0"/>
        <v>公孙离</v>
      </c>
      <c r="E45" s="13">
        <v>45920</v>
      </c>
      <c r="F45" s="14">
        <v>159.59</v>
      </c>
      <c r="G45" s="15"/>
      <c r="H45" s="14"/>
      <c r="I45" s="15"/>
      <c r="J45" s="14">
        <v>167.4</v>
      </c>
      <c r="K45" s="13">
        <v>45920</v>
      </c>
      <c r="L45" s="13" t="s">
        <v>13</v>
      </c>
      <c r="M45" s="7"/>
      <c r="N45" s="10"/>
      <c r="S45" s="11"/>
    </row>
    <row r="46" spans="1:19" ht="17.399999999999999">
      <c r="A46" s="5">
        <v>43</v>
      </c>
      <c r="B46" s="12" t="s">
        <v>65</v>
      </c>
      <c r="C46" s="5" t="s">
        <v>109</v>
      </c>
      <c r="D46" s="7" t="str">
        <f t="shared" si="0"/>
        <v>Cook</v>
      </c>
      <c r="E46" s="13">
        <v>45920</v>
      </c>
      <c r="F46" s="14">
        <v>126.99</v>
      </c>
      <c r="G46" s="15"/>
      <c r="H46" s="14"/>
      <c r="I46" s="15"/>
      <c r="J46" s="14">
        <v>127.99</v>
      </c>
      <c r="K46" s="13">
        <v>45923</v>
      </c>
      <c r="L46" s="13" t="s">
        <v>13</v>
      </c>
      <c r="M46" s="14"/>
      <c r="N46" s="10"/>
      <c r="S46" s="11"/>
    </row>
    <row r="47" spans="1:19" ht="17.399999999999999">
      <c r="A47" s="5">
        <v>44</v>
      </c>
      <c r="B47" s="12" t="s">
        <v>78</v>
      </c>
      <c r="C47" s="5" t="s">
        <v>105</v>
      </c>
      <c r="D47" s="7" t="str">
        <f t="shared" si="0"/>
        <v>公孙离</v>
      </c>
      <c r="E47" s="13">
        <v>45921</v>
      </c>
      <c r="F47" s="14">
        <v>392.32</v>
      </c>
      <c r="G47" s="15"/>
      <c r="H47" s="14"/>
      <c r="I47" s="15"/>
      <c r="J47" s="14">
        <v>367.56</v>
      </c>
      <c r="K47" s="13">
        <v>45923</v>
      </c>
      <c r="L47" s="13" t="s">
        <v>13</v>
      </c>
      <c r="M47" s="14"/>
      <c r="N47" s="10"/>
      <c r="S47" s="11"/>
    </row>
    <row r="48" spans="1:19" ht="17.399999999999999">
      <c r="A48" s="5">
        <v>45</v>
      </c>
      <c r="B48" s="12" t="s">
        <v>66</v>
      </c>
      <c r="C48" s="5" t="s">
        <v>106</v>
      </c>
      <c r="D48" s="7" t="str">
        <f t="shared" si="0"/>
        <v>李海绵</v>
      </c>
      <c r="E48" s="13">
        <v>45923</v>
      </c>
      <c r="F48" s="14">
        <v>158.03</v>
      </c>
      <c r="G48" s="15"/>
      <c r="H48" s="14"/>
      <c r="I48" s="15"/>
      <c r="J48" s="14">
        <v>158.83000000000001</v>
      </c>
      <c r="K48" s="13">
        <v>45924</v>
      </c>
      <c r="L48" s="13" t="s">
        <v>13</v>
      </c>
      <c r="M48" s="14"/>
      <c r="N48" s="10"/>
      <c r="S48" s="11"/>
    </row>
    <row r="49" spans="1:19" s="22" customFormat="1" ht="17.399999999999999">
      <c r="A49" s="16">
        <v>46</v>
      </c>
      <c r="B49" s="17" t="s">
        <v>67</v>
      </c>
      <c r="C49" s="16" t="s">
        <v>109</v>
      </c>
      <c r="D49" s="2" t="str">
        <f t="shared" si="0"/>
        <v>Cook</v>
      </c>
      <c r="E49" s="18">
        <v>45924</v>
      </c>
      <c r="F49" s="3">
        <v>622.66</v>
      </c>
      <c r="G49" s="19">
        <v>100</v>
      </c>
      <c r="H49" s="3">
        <v>41</v>
      </c>
      <c r="I49" s="19">
        <f>G49+H49</f>
        <v>141</v>
      </c>
      <c r="J49" s="3"/>
      <c r="K49" s="18"/>
      <c r="L49" s="18"/>
      <c r="M49" s="20"/>
      <c r="N49" s="21"/>
      <c r="O49" s="1"/>
      <c r="P49" s="1"/>
      <c r="Q49" s="1"/>
      <c r="S49" s="23"/>
    </row>
    <row r="50" spans="1:19" ht="17.399999999999999">
      <c r="A50" s="5">
        <v>47</v>
      </c>
      <c r="B50" s="12" t="s">
        <v>68</v>
      </c>
      <c r="C50" s="5" t="s">
        <v>106</v>
      </c>
      <c r="D50" s="7" t="str">
        <f t="shared" si="0"/>
        <v>李海绵</v>
      </c>
      <c r="E50" s="13">
        <v>45924</v>
      </c>
      <c r="F50" s="14">
        <v>181.63</v>
      </c>
      <c r="G50" s="15"/>
      <c r="H50" s="14"/>
      <c r="I50" s="15"/>
      <c r="J50" s="14">
        <v>181.63</v>
      </c>
      <c r="K50" s="13">
        <v>45925</v>
      </c>
      <c r="L50" s="13" t="s">
        <v>13</v>
      </c>
      <c r="M50" s="14"/>
      <c r="N50" s="10"/>
      <c r="S50" s="11"/>
    </row>
    <row r="51" spans="1:19" s="22" customFormat="1" ht="17.399999999999999">
      <c r="A51" s="5">
        <v>48</v>
      </c>
      <c r="B51" s="6" t="s">
        <v>69</v>
      </c>
      <c r="C51" s="7" t="s">
        <v>106</v>
      </c>
      <c r="D51" s="7" t="str">
        <f t="shared" si="0"/>
        <v>李海绵</v>
      </c>
      <c r="E51" s="8">
        <v>45926</v>
      </c>
      <c r="F51" s="7">
        <v>199.81</v>
      </c>
      <c r="G51" s="9"/>
      <c r="H51" s="7"/>
      <c r="I51" s="15"/>
      <c r="J51" s="7">
        <v>199.81</v>
      </c>
      <c r="K51" s="8">
        <v>45927</v>
      </c>
      <c r="L51" s="13" t="s">
        <v>13</v>
      </c>
      <c r="M51" s="24"/>
      <c r="N51" s="21"/>
      <c r="O51" s="1"/>
      <c r="P51" s="1"/>
      <c r="Q51" s="1"/>
      <c r="S51" s="23"/>
    </row>
    <row r="52" spans="1:19" s="22" customFormat="1" ht="17.399999999999999">
      <c r="A52" s="16">
        <v>49</v>
      </c>
      <c r="B52" s="25" t="s">
        <v>70</v>
      </c>
      <c r="C52" s="2" t="s">
        <v>105</v>
      </c>
      <c r="D52" s="2" t="str">
        <f t="shared" si="0"/>
        <v>公孙离</v>
      </c>
      <c r="E52" s="26">
        <v>45926</v>
      </c>
      <c r="F52" s="2">
        <v>578.61</v>
      </c>
      <c r="G52" s="4">
        <v>390</v>
      </c>
      <c r="H52" s="2">
        <v>100.5</v>
      </c>
      <c r="I52" s="19">
        <f>G52+H52</f>
        <v>490.5</v>
      </c>
      <c r="J52" s="2"/>
      <c r="K52" s="26"/>
      <c r="L52" s="26"/>
      <c r="M52" s="27"/>
      <c r="N52" s="21"/>
      <c r="O52" s="1"/>
      <c r="P52" s="1"/>
      <c r="Q52" s="1"/>
      <c r="S52" s="23"/>
    </row>
    <row r="53" spans="1:19" s="22" customFormat="1" ht="17.399999999999999">
      <c r="A53" s="16">
        <v>50</v>
      </c>
      <c r="B53" s="25" t="s">
        <v>71</v>
      </c>
      <c r="C53" s="2" t="s">
        <v>107</v>
      </c>
      <c r="D53" s="2" t="str">
        <f t="shared" si="0"/>
        <v>杰瑞</v>
      </c>
      <c r="E53" s="26">
        <v>45926</v>
      </c>
      <c r="F53" s="2">
        <v>521.34</v>
      </c>
      <c r="G53" s="4">
        <v>297</v>
      </c>
      <c r="H53" s="2">
        <v>89</v>
      </c>
      <c r="I53" s="4">
        <f t="shared" ref="I53:I57" si="1">G53+H53</f>
        <v>386</v>
      </c>
      <c r="J53" s="2"/>
      <c r="K53" s="26"/>
      <c r="L53" s="26"/>
      <c r="M53" s="27"/>
      <c r="N53" s="21"/>
      <c r="O53" s="1"/>
      <c r="P53" s="1"/>
      <c r="Q53" s="1"/>
      <c r="S53" s="23"/>
    </row>
    <row r="54" spans="1:19" s="22" customFormat="1" ht="17.399999999999999">
      <c r="A54" s="16">
        <v>51</v>
      </c>
      <c r="B54" s="25" t="s">
        <v>72</v>
      </c>
      <c r="C54" s="2" t="s">
        <v>104</v>
      </c>
      <c r="D54" s="2" t="str">
        <f t="shared" si="0"/>
        <v>派大星</v>
      </c>
      <c r="E54" s="26">
        <v>45927</v>
      </c>
      <c r="F54" s="2">
        <v>603.22</v>
      </c>
      <c r="G54" s="4">
        <v>316</v>
      </c>
      <c r="H54" s="2">
        <v>62</v>
      </c>
      <c r="I54" s="19">
        <f>G54+H54</f>
        <v>378</v>
      </c>
      <c r="J54" s="2"/>
      <c r="K54" s="26"/>
      <c r="L54" s="26"/>
      <c r="M54" s="27"/>
      <c r="N54" s="21"/>
      <c r="O54" s="1"/>
      <c r="P54" s="1"/>
      <c r="Q54" s="1"/>
      <c r="S54" s="23"/>
    </row>
    <row r="55" spans="1:19" s="22" customFormat="1" ht="17.399999999999999">
      <c r="A55" s="16">
        <v>52</v>
      </c>
      <c r="B55" s="25" t="s">
        <v>73</v>
      </c>
      <c r="C55" s="2" t="s">
        <v>102</v>
      </c>
      <c r="D55" s="2" t="str">
        <f t="shared" si="0"/>
        <v>周可儿</v>
      </c>
      <c r="E55" s="26">
        <v>45927</v>
      </c>
      <c r="F55" s="2">
        <v>544.26</v>
      </c>
      <c r="G55" s="4">
        <v>371.7</v>
      </c>
      <c r="H55" s="2">
        <v>84</v>
      </c>
      <c r="I55" s="19">
        <f>G55+H55</f>
        <v>455.7</v>
      </c>
      <c r="J55" s="2"/>
      <c r="K55" s="26"/>
      <c r="L55" s="26"/>
      <c r="M55" s="27"/>
      <c r="N55" s="21"/>
      <c r="O55" s="1"/>
      <c r="P55" s="1"/>
      <c r="Q55" s="1"/>
      <c r="S55" s="23"/>
    </row>
    <row r="56" spans="1:19" s="22" customFormat="1" ht="17.399999999999999">
      <c r="A56" s="16">
        <v>53</v>
      </c>
      <c r="B56" s="25" t="s">
        <v>74</v>
      </c>
      <c r="C56" s="2" t="s">
        <v>108</v>
      </c>
      <c r="D56" s="2" t="str">
        <f t="shared" si="0"/>
        <v>Tim</v>
      </c>
      <c r="E56" s="26">
        <v>45927</v>
      </c>
      <c r="F56" s="2">
        <v>538.80999999999995</v>
      </c>
      <c r="G56" s="4">
        <v>185</v>
      </c>
      <c r="H56" s="2">
        <v>116</v>
      </c>
      <c r="I56" s="4">
        <f t="shared" si="1"/>
        <v>301</v>
      </c>
      <c r="J56" s="2"/>
      <c r="K56" s="26"/>
      <c r="L56" s="26"/>
      <c r="M56" s="27"/>
      <c r="N56" s="21"/>
      <c r="O56" s="1"/>
      <c r="P56" s="1"/>
      <c r="Q56" s="1"/>
      <c r="S56" s="23"/>
    </row>
    <row r="57" spans="1:19" s="22" customFormat="1" ht="17.399999999999999">
      <c r="A57" s="16">
        <v>54</v>
      </c>
      <c r="B57" s="25" t="s">
        <v>75</v>
      </c>
      <c r="C57" s="2" t="s">
        <v>106</v>
      </c>
      <c r="D57" s="2" t="str">
        <f t="shared" si="0"/>
        <v>李海绵</v>
      </c>
      <c r="E57" s="26">
        <v>45927</v>
      </c>
      <c r="F57" s="2">
        <v>556.66</v>
      </c>
      <c r="G57" s="4">
        <v>371.5</v>
      </c>
      <c r="H57" s="2">
        <v>83</v>
      </c>
      <c r="I57" s="4">
        <f t="shared" si="1"/>
        <v>454.5</v>
      </c>
      <c r="J57" s="2"/>
      <c r="K57" s="26"/>
      <c r="L57" s="26"/>
      <c r="M57" s="27"/>
      <c r="N57" s="21"/>
      <c r="O57" s="1"/>
      <c r="P57" s="1"/>
      <c r="Q57" s="1"/>
      <c r="S57" s="23"/>
    </row>
    <row r="58" spans="1:19" s="22" customFormat="1" ht="17.399999999999999">
      <c r="A58" s="16"/>
      <c r="B58" s="25"/>
      <c r="C58" s="2"/>
      <c r="D58" s="2"/>
      <c r="E58" s="26"/>
      <c r="F58" s="2"/>
      <c r="G58" s="4"/>
      <c r="H58" s="2"/>
      <c r="I58" s="4"/>
      <c r="J58" s="2"/>
      <c r="K58" s="26"/>
      <c r="L58" s="26"/>
      <c r="M58" s="27"/>
      <c r="N58" s="21"/>
      <c r="S58" s="23"/>
    </row>
    <row r="59" spans="1:19" s="22" customFormat="1" ht="17.399999999999999">
      <c r="A59" s="16"/>
      <c r="B59" s="25"/>
      <c r="C59" s="2"/>
      <c r="D59" s="2"/>
      <c r="E59" s="26"/>
      <c r="F59" s="2"/>
      <c r="G59" s="4"/>
      <c r="H59" s="2"/>
      <c r="I59" s="4"/>
      <c r="J59" s="2"/>
      <c r="K59" s="26"/>
      <c r="L59" s="26"/>
      <c r="M59" s="27"/>
      <c r="N59" s="21"/>
      <c r="S59" s="23"/>
    </row>
    <row r="60" spans="1:19" s="22" customFormat="1" ht="17.399999999999999">
      <c r="A60" s="16"/>
      <c r="B60" s="17"/>
      <c r="C60" s="2"/>
      <c r="D60" s="2"/>
      <c r="E60" s="26"/>
      <c r="F60" s="2"/>
      <c r="G60" s="4"/>
      <c r="H60" s="2"/>
      <c r="I60" s="4"/>
      <c r="J60" s="2"/>
      <c r="K60" s="26"/>
      <c r="L60" s="26"/>
      <c r="M60" s="27"/>
      <c r="N60" s="21"/>
      <c r="S60" s="23"/>
    </row>
    <row r="61" spans="1:19" ht="17.399999999999999">
      <c r="A61" s="2"/>
      <c r="B61" s="25"/>
      <c r="C61" s="2"/>
      <c r="D61" s="2"/>
      <c r="E61" s="26"/>
      <c r="F61" s="2"/>
      <c r="G61" s="4"/>
      <c r="H61" s="2"/>
      <c r="I61" s="4"/>
      <c r="J61" s="2"/>
      <c r="K61" s="26"/>
      <c r="L61" s="26"/>
      <c r="M61" s="2"/>
      <c r="N61" s="10"/>
      <c r="S61" s="11"/>
    </row>
    <row r="62" spans="1:19" ht="17.399999999999999">
      <c r="A62" s="2"/>
      <c r="B62" s="25"/>
      <c r="C62" s="2"/>
      <c r="D62" s="2"/>
      <c r="E62" s="26"/>
      <c r="F62" s="2"/>
      <c r="G62" s="4"/>
      <c r="H62" s="2"/>
      <c r="I62" s="4"/>
      <c r="J62" s="2"/>
      <c r="K62" s="26"/>
      <c r="L62" s="26"/>
      <c r="M62" s="2"/>
      <c r="N62" s="10"/>
      <c r="S62" s="11"/>
    </row>
    <row r="63" spans="1:19" ht="17.399999999999999">
      <c r="A63" s="2"/>
      <c r="B63" s="25"/>
      <c r="C63" s="2"/>
      <c r="D63" s="2"/>
      <c r="E63" s="26"/>
      <c r="F63" s="2"/>
      <c r="G63" s="4"/>
      <c r="H63" s="2"/>
      <c r="I63" s="4"/>
      <c r="J63" s="2"/>
      <c r="K63" s="26"/>
      <c r="L63" s="26"/>
      <c r="M63" s="2"/>
      <c r="N63" s="10"/>
      <c r="S63" s="11"/>
    </row>
    <row r="64" spans="1:19">
      <c r="A64" s="28"/>
      <c r="B64" s="28"/>
      <c r="C64" s="28"/>
      <c r="D64" s="2"/>
      <c r="E64" s="28"/>
      <c r="F64" s="28"/>
      <c r="G64" s="28"/>
      <c r="H64" s="28"/>
      <c r="I64" s="28"/>
      <c r="J64" s="28"/>
      <c r="K64" s="28"/>
      <c r="L64" s="28"/>
      <c r="M64" s="28"/>
      <c r="N64" s="10"/>
      <c r="S64" s="11"/>
    </row>
    <row r="65" spans="1:19" ht="19.5" customHeight="1">
      <c r="A65" s="68" t="s">
        <v>14</v>
      </c>
      <c r="B65" s="29" t="s">
        <v>15</v>
      </c>
      <c r="C65" s="29" t="s">
        <v>16</v>
      </c>
      <c r="D65" s="30" t="s">
        <v>17</v>
      </c>
      <c r="E65" s="31" t="s">
        <v>131</v>
      </c>
      <c r="F65" s="66" t="str">
        <f>SUM(F4:F64)&amp;"米"</f>
        <v>15434.96米</v>
      </c>
      <c r="G65" s="70" t="str">
        <f>SUM(G4:G64)&amp;"米"</f>
        <v>2031.2米</v>
      </c>
      <c r="H65" s="66" t="str">
        <f>SUM(H4:H64)&amp;"米"</f>
        <v>575.5米</v>
      </c>
      <c r="I65" s="70" t="str">
        <f>SUM(I4:I64)&amp;"米"</f>
        <v>2606.7米</v>
      </c>
      <c r="J65" s="66" t="str">
        <f>SUM(J4:J64)&amp;"米"</f>
        <v>11154.98米</v>
      </c>
      <c r="K65" s="72"/>
      <c r="L65" s="72"/>
      <c r="M65" s="66"/>
      <c r="N65" s="10"/>
      <c r="S65" s="11"/>
    </row>
    <row r="66" spans="1:19" s="10" customFormat="1" ht="19.5" customHeight="1">
      <c r="A66" s="69"/>
      <c r="B66" s="32" t="str">
        <f>COUNTIF(L4:L64,"终孔")&amp;"个"</f>
        <v>47个</v>
      </c>
      <c r="C66" s="33" t="str">
        <f>SUM(J4:J64)&amp;"米"</f>
        <v>11154.98米</v>
      </c>
      <c r="D66" s="34" t="str">
        <f>SUM(I4:I64)&amp;"米"</f>
        <v>2606.7米</v>
      </c>
      <c r="E66" s="34" t="str">
        <f>SUM(I4:I64)+SUM(J4:J64)&amp;"米"</f>
        <v>13761.68米</v>
      </c>
      <c r="F66" s="67"/>
      <c r="G66" s="71"/>
      <c r="H66" s="67"/>
      <c r="I66" s="71"/>
      <c r="J66" s="67"/>
      <c r="K66" s="73"/>
      <c r="L66" s="73"/>
      <c r="M66" s="67"/>
      <c r="S66" s="11"/>
    </row>
    <row r="70" spans="1:19" ht="16.2">
      <c r="A70" s="35" t="s">
        <v>18</v>
      </c>
      <c r="B70" s="35" t="s">
        <v>19</v>
      </c>
      <c r="C70" s="35" t="s">
        <v>20</v>
      </c>
      <c r="D70" s="35" t="s">
        <v>21</v>
      </c>
      <c r="E70" s="35" t="s">
        <v>22</v>
      </c>
      <c r="F70" s="35" t="s">
        <v>23</v>
      </c>
      <c r="G70" s="35" t="s">
        <v>24</v>
      </c>
      <c r="H70" s="35" t="s">
        <v>25</v>
      </c>
      <c r="I70" s="35" t="s">
        <v>26</v>
      </c>
      <c r="J70" s="36" t="s">
        <v>17</v>
      </c>
      <c r="K70" s="37" t="s">
        <v>11</v>
      </c>
      <c r="L70" s="37" t="s">
        <v>3</v>
      </c>
      <c r="M70" s="37" t="s">
        <v>130</v>
      </c>
      <c r="N70" s="37" t="s">
        <v>27</v>
      </c>
      <c r="O70" s="37" t="s">
        <v>28</v>
      </c>
      <c r="P70" s="37" t="s">
        <v>25</v>
      </c>
      <c r="Q70" s="38"/>
    </row>
    <row r="71" spans="1:19" ht="16.2">
      <c r="A71" s="39" t="s">
        <v>98</v>
      </c>
      <c r="B71" s="39"/>
      <c r="C71" s="39">
        <f>COUNTIFS($C$4:$C$64,A71,$L$4:$L$64,"终孔")</f>
        <v>0</v>
      </c>
      <c r="D71" s="40">
        <f>SUMIF($C$4:$C$64,A71,$J$4:$J$64)</f>
        <v>0</v>
      </c>
      <c r="E71" s="40" t="str">
        <f t="array" ref="E71">_xlfn.TEXTJOIN("; ", TRUE, IF(($C$4:$C$64 = A71) * ($L$4:$L$64 &lt;&gt; "终孔"), $B$4:$B$64, ""))</f>
        <v/>
      </c>
      <c r="F71" s="40" t="e">
        <f t="shared" ref="F71:F84" si="2">VLOOKUP($E71,$B$4:$L$64,5,FALSE)</f>
        <v>#N/A</v>
      </c>
      <c r="G71" s="40" t="e">
        <f t="shared" ref="G71:G84" si="3">VLOOKUP($E71,$B$4:$L$64,8,FALSE)</f>
        <v>#N/A</v>
      </c>
      <c r="H71" s="40" t="e">
        <f t="shared" ref="H71:H84" si="4">VLOOKUP($E71,$B$4:$L$64,7,FALSE)</f>
        <v>#N/A</v>
      </c>
      <c r="I71" s="41" t="e">
        <f t="shared" ref="I71:I84" si="5">VLOOKUP($E71,$B$4:$L$64,4,FALSE)</f>
        <v>#N/A</v>
      </c>
      <c r="J71" s="42">
        <f t="shared" ref="J71:J84" si="6">SUMIF($C$4:$C$64,A71,$I$4:$I$64)</f>
        <v>0</v>
      </c>
      <c r="K71" s="43"/>
      <c r="L71" s="2"/>
      <c r="M71" s="37"/>
      <c r="N71" s="43"/>
      <c r="O71" s="2">
        <f t="shared" ref="O71:O84" ca="1" si="7">COUNTIFS($K$4:$K$64, TODAY(), $L$4:$L$64, "终孔", $C$4:$C$64, A71)</f>
        <v>0</v>
      </c>
      <c r="P71" s="2">
        <f t="shared" ref="P71:P84" si="8">SUMIFS($H$4:$H$64,$C$4:$C$64,A71)</f>
        <v>0</v>
      </c>
      <c r="Q71" s="10"/>
    </row>
    <row r="72" spans="1:19" ht="16.2">
      <c r="A72" s="39" t="s">
        <v>99</v>
      </c>
      <c r="B72" s="39"/>
      <c r="C72" s="39">
        <f t="shared" ref="C72:C84" si="9">COUNTIFS($C$4:$C$64,A72,$L$4:$L$64,"终孔")</f>
        <v>0</v>
      </c>
      <c r="D72" s="40">
        <f t="shared" ref="D72:D84" si="10">SUMIF($C$4:$C$64,A72,$J$4:$J$64)</f>
        <v>0</v>
      </c>
      <c r="E72" s="40" t="str">
        <f t="array" ref="E72">_xlfn.TEXTJOIN("; ", TRUE, IF(($C$4:$C$64 = A72) * ($L$4:$L$64 &lt;&gt; "终孔"), $B$4:$B$64, ""))</f>
        <v/>
      </c>
      <c r="F72" s="40" t="e">
        <f t="shared" si="2"/>
        <v>#N/A</v>
      </c>
      <c r="G72" s="40" t="e">
        <f t="shared" si="3"/>
        <v>#N/A</v>
      </c>
      <c r="H72" s="40" t="e">
        <f t="shared" si="4"/>
        <v>#N/A</v>
      </c>
      <c r="I72" s="41" t="e">
        <f t="shared" si="5"/>
        <v>#N/A</v>
      </c>
      <c r="J72" s="42">
        <f t="shared" si="6"/>
        <v>0</v>
      </c>
      <c r="K72" s="43"/>
      <c r="L72" s="2"/>
      <c r="M72" s="37"/>
      <c r="N72" s="43"/>
      <c r="O72" s="2">
        <f t="shared" ca="1" si="7"/>
        <v>0</v>
      </c>
      <c r="P72" s="2">
        <f t="shared" si="8"/>
        <v>0</v>
      </c>
      <c r="Q72" s="10"/>
    </row>
    <row r="73" spans="1:19" ht="16.2">
      <c r="A73" s="39" t="s">
        <v>100</v>
      </c>
      <c r="B73" s="39"/>
      <c r="C73" s="39">
        <f t="shared" si="9"/>
        <v>0</v>
      </c>
      <c r="D73" s="40">
        <f t="shared" si="10"/>
        <v>0</v>
      </c>
      <c r="E73" s="40" t="str">
        <f t="array" ref="E73">_xlfn.TEXTJOIN("; ", TRUE, IF(($C$4:$C$64 = A73) * ($L$4:$L$64 &lt;&gt; "终孔"), $B$4:$B$64, ""))</f>
        <v/>
      </c>
      <c r="F73" s="40" t="e">
        <f t="shared" si="2"/>
        <v>#N/A</v>
      </c>
      <c r="G73" s="40" t="e">
        <f t="shared" si="3"/>
        <v>#N/A</v>
      </c>
      <c r="H73" s="40" t="e">
        <f t="shared" si="4"/>
        <v>#N/A</v>
      </c>
      <c r="I73" s="41" t="e">
        <f t="shared" si="5"/>
        <v>#N/A</v>
      </c>
      <c r="J73" s="42">
        <f t="shared" si="6"/>
        <v>0</v>
      </c>
      <c r="K73" s="43"/>
      <c r="L73" s="2"/>
      <c r="M73" s="37"/>
      <c r="N73" s="43"/>
      <c r="O73" s="2">
        <f t="shared" ca="1" si="7"/>
        <v>0</v>
      </c>
      <c r="P73" s="2">
        <f t="shared" si="8"/>
        <v>0</v>
      </c>
      <c r="Q73" s="10"/>
    </row>
    <row r="74" spans="1:19" ht="16.2">
      <c r="A74" s="39" t="s">
        <v>101</v>
      </c>
      <c r="B74" s="39"/>
      <c r="C74" s="39">
        <f t="shared" si="9"/>
        <v>0</v>
      </c>
      <c r="D74" s="40">
        <f t="shared" si="10"/>
        <v>0</v>
      </c>
      <c r="E74" s="40" t="str">
        <f t="array" ref="E74">_xlfn.TEXTJOIN("; ", TRUE, IF(($C$4:$C$64 = A74) * ($L$4:$L$64 &lt;&gt; "终孔"), $B$4:$B$64, ""))</f>
        <v/>
      </c>
      <c r="F74" s="40" t="e">
        <f t="shared" si="2"/>
        <v>#N/A</v>
      </c>
      <c r="G74" s="40" t="e">
        <f t="shared" si="3"/>
        <v>#N/A</v>
      </c>
      <c r="H74" s="40" t="e">
        <f t="shared" si="4"/>
        <v>#N/A</v>
      </c>
      <c r="I74" s="41" t="e">
        <f t="shared" si="5"/>
        <v>#N/A</v>
      </c>
      <c r="J74" s="42">
        <f t="shared" si="6"/>
        <v>0</v>
      </c>
      <c r="K74" s="43"/>
      <c r="L74" s="37"/>
      <c r="M74" s="37"/>
      <c r="N74" s="43"/>
      <c r="O74" s="2">
        <f t="shared" ca="1" si="7"/>
        <v>0</v>
      </c>
      <c r="P74" s="2">
        <f t="shared" si="8"/>
        <v>0</v>
      </c>
      <c r="Q74" s="10"/>
    </row>
    <row r="75" spans="1:19">
      <c r="A75" s="44" t="s">
        <v>102</v>
      </c>
      <c r="B75" s="44" t="s">
        <v>29</v>
      </c>
      <c r="C75" s="44">
        <f t="shared" si="9"/>
        <v>2</v>
      </c>
      <c r="D75" s="45">
        <f t="shared" si="10"/>
        <v>947.21</v>
      </c>
      <c r="E75" s="45" t="str">
        <f t="array" ref="E75">_xlfn.TEXTJOIN("; ", TRUE, IF(($C$4:$C$64 = A75) * ($L$4:$L$64 &lt;&gt; "终孔"), $B$4:$B$64, ""))</f>
        <v>ZK-48</v>
      </c>
      <c r="F75" s="45">
        <f t="shared" si="2"/>
        <v>544.26</v>
      </c>
      <c r="G75" s="45">
        <f t="shared" si="3"/>
        <v>455.7</v>
      </c>
      <c r="H75" s="45">
        <f t="shared" si="4"/>
        <v>84</v>
      </c>
      <c r="I75" s="46">
        <f t="shared" si="5"/>
        <v>45927</v>
      </c>
      <c r="J75" s="47">
        <f t="shared" si="6"/>
        <v>455.7</v>
      </c>
      <c r="K75" s="48" t="s">
        <v>30</v>
      </c>
      <c r="L75" s="30" t="s">
        <v>116</v>
      </c>
      <c r="M75" s="30">
        <v>5</v>
      </c>
      <c r="N75" s="48">
        <f t="shared" ref="N75:N81" si="11">D75+J75</f>
        <v>1402.91</v>
      </c>
      <c r="O75" s="30">
        <f t="shared" ca="1" si="7"/>
        <v>0</v>
      </c>
      <c r="P75" s="30">
        <f t="shared" si="8"/>
        <v>84</v>
      </c>
      <c r="Q75" s="10"/>
    </row>
    <row r="76" spans="1:19">
      <c r="A76" s="39" t="s">
        <v>103</v>
      </c>
      <c r="B76" s="39" t="s">
        <v>31</v>
      </c>
      <c r="C76" s="39">
        <f t="shared" si="9"/>
        <v>0</v>
      </c>
      <c r="D76" s="40">
        <f t="shared" si="10"/>
        <v>0</v>
      </c>
      <c r="E76" s="40" t="str">
        <f t="array" ref="E76">_xlfn.TEXTJOIN("; ", TRUE, IF(($C$4:$C$64 = A76) * ($L$4:$L$64 &lt;&gt; "终孔"), $B$4:$B$64, ""))</f>
        <v/>
      </c>
      <c r="F76" s="40" t="e">
        <f t="shared" si="2"/>
        <v>#N/A</v>
      </c>
      <c r="G76" s="40" t="e">
        <f t="shared" si="3"/>
        <v>#N/A</v>
      </c>
      <c r="H76" s="40" t="e">
        <f t="shared" si="4"/>
        <v>#N/A</v>
      </c>
      <c r="I76" s="41" t="e">
        <f t="shared" si="5"/>
        <v>#N/A</v>
      </c>
      <c r="J76" s="42">
        <f t="shared" si="6"/>
        <v>0</v>
      </c>
      <c r="K76" s="43"/>
      <c r="L76" s="2"/>
      <c r="M76" s="2"/>
      <c r="N76" s="43">
        <f t="shared" si="11"/>
        <v>0</v>
      </c>
      <c r="O76" s="2">
        <f t="shared" ca="1" si="7"/>
        <v>0</v>
      </c>
      <c r="P76" s="2">
        <f t="shared" si="8"/>
        <v>0</v>
      </c>
      <c r="Q76" s="10"/>
    </row>
    <row r="77" spans="1:19">
      <c r="A77" s="44" t="s">
        <v>104</v>
      </c>
      <c r="B77" s="44" t="s">
        <v>32</v>
      </c>
      <c r="C77" s="44">
        <f t="shared" si="9"/>
        <v>3</v>
      </c>
      <c r="D77" s="45">
        <f t="shared" si="10"/>
        <v>1262.19</v>
      </c>
      <c r="E77" s="45" t="str">
        <f t="array" ref="E77">_xlfn.TEXTJOIN("; ", TRUE, IF(($C$4:$C$64 = A77) * ($L$4:$L$64 &lt;&gt; "终孔"), $B$4:$B$64, ""))</f>
        <v>ZK-54</v>
      </c>
      <c r="F77" s="45">
        <f t="shared" si="2"/>
        <v>603.22</v>
      </c>
      <c r="G77" s="45">
        <f t="shared" si="3"/>
        <v>378</v>
      </c>
      <c r="H77" s="45">
        <f t="shared" si="4"/>
        <v>62</v>
      </c>
      <c r="I77" s="46">
        <f t="shared" si="5"/>
        <v>45927</v>
      </c>
      <c r="J77" s="47">
        <f t="shared" si="6"/>
        <v>378</v>
      </c>
      <c r="K77" s="48" t="s">
        <v>30</v>
      </c>
      <c r="L77" s="30" t="s">
        <v>117</v>
      </c>
      <c r="M77" s="30">
        <v>4</v>
      </c>
      <c r="N77" s="48">
        <f t="shared" si="11"/>
        <v>1640.19</v>
      </c>
      <c r="O77" s="30">
        <f t="shared" ca="1" si="7"/>
        <v>0</v>
      </c>
      <c r="P77" s="30">
        <f t="shared" si="8"/>
        <v>62</v>
      </c>
      <c r="Q77" s="10"/>
    </row>
    <row r="78" spans="1:19">
      <c r="A78" s="44" t="s">
        <v>105</v>
      </c>
      <c r="B78" s="44" t="s">
        <v>29</v>
      </c>
      <c r="C78" s="44">
        <f t="shared" si="9"/>
        <v>18</v>
      </c>
      <c r="D78" s="45">
        <f t="shared" si="10"/>
        <v>2834.81</v>
      </c>
      <c r="E78" s="45" t="str">
        <f t="array" ref="E78">_xlfn.TEXTJOIN("; ", TRUE, IF(($C$4:$C$64 = A78) * ($L$4:$L$64 &lt;&gt; "终孔"), $B$4:$B$64, ""))</f>
        <v>ZK-58</v>
      </c>
      <c r="F78" s="45">
        <f t="shared" si="2"/>
        <v>578.61</v>
      </c>
      <c r="G78" s="45">
        <f t="shared" si="3"/>
        <v>490.5</v>
      </c>
      <c r="H78" s="45">
        <f t="shared" si="4"/>
        <v>100.5</v>
      </c>
      <c r="I78" s="46">
        <f t="shared" si="5"/>
        <v>45926</v>
      </c>
      <c r="J78" s="47">
        <f t="shared" si="6"/>
        <v>490.5</v>
      </c>
      <c r="K78" s="48" t="s">
        <v>30</v>
      </c>
      <c r="L78" s="30" t="s">
        <v>118</v>
      </c>
      <c r="M78" s="30">
        <v>5</v>
      </c>
      <c r="N78" s="48">
        <f t="shared" si="11"/>
        <v>3325.31</v>
      </c>
      <c r="O78" s="30">
        <f t="shared" ca="1" si="7"/>
        <v>0</v>
      </c>
      <c r="P78" s="30">
        <f t="shared" si="8"/>
        <v>100.5</v>
      </c>
      <c r="Q78" s="10"/>
    </row>
    <row r="79" spans="1:19">
      <c r="A79" s="44" t="s">
        <v>106</v>
      </c>
      <c r="B79" s="44" t="s">
        <v>29</v>
      </c>
      <c r="C79" s="44">
        <f t="shared" si="9"/>
        <v>6</v>
      </c>
      <c r="D79" s="45">
        <f t="shared" si="10"/>
        <v>1903.5299999999997</v>
      </c>
      <c r="E79" s="45" t="str">
        <f t="array" ref="E79">_xlfn.TEXTJOIN("; ", TRUE, IF(($C$4:$C$64 = A79) * ($L$4:$L$64 &lt;&gt; "终孔"), $B$4:$B$64, ""))</f>
        <v>ZK-56</v>
      </c>
      <c r="F79" s="45">
        <f t="shared" si="2"/>
        <v>556.66</v>
      </c>
      <c r="G79" s="45">
        <f t="shared" si="3"/>
        <v>454.5</v>
      </c>
      <c r="H79" s="45">
        <f t="shared" si="4"/>
        <v>83</v>
      </c>
      <c r="I79" s="46">
        <f t="shared" si="5"/>
        <v>45927</v>
      </c>
      <c r="J79" s="47">
        <f t="shared" si="6"/>
        <v>454.5</v>
      </c>
      <c r="K79" s="48" t="s">
        <v>30</v>
      </c>
      <c r="L79" s="30" t="s">
        <v>119</v>
      </c>
      <c r="M79" s="30">
        <v>5</v>
      </c>
      <c r="N79" s="48">
        <f t="shared" si="11"/>
        <v>2358.0299999999997</v>
      </c>
      <c r="O79" s="30">
        <f t="shared" ca="1" si="7"/>
        <v>0</v>
      </c>
      <c r="P79" s="30">
        <f t="shared" si="8"/>
        <v>83</v>
      </c>
      <c r="Q79" s="10"/>
    </row>
    <row r="80" spans="1:19">
      <c r="A80" s="44" t="s">
        <v>107</v>
      </c>
      <c r="B80" s="44" t="s">
        <v>31</v>
      </c>
      <c r="C80" s="44">
        <f t="shared" si="9"/>
        <v>0</v>
      </c>
      <c r="D80" s="45">
        <f t="shared" si="10"/>
        <v>0</v>
      </c>
      <c r="E80" s="45" t="str">
        <f t="array" ref="E80">_xlfn.TEXTJOIN("; ", TRUE, IF(($C$4:$C$64 = A80) * ($L$4:$L$64 &lt;&gt; "终孔"), $B$4:$B$64, ""))</f>
        <v>ZK-53</v>
      </c>
      <c r="F80" s="45">
        <f t="shared" si="2"/>
        <v>521.34</v>
      </c>
      <c r="G80" s="45">
        <f t="shared" si="3"/>
        <v>386</v>
      </c>
      <c r="H80" s="45">
        <f t="shared" si="4"/>
        <v>89</v>
      </c>
      <c r="I80" s="46">
        <f t="shared" si="5"/>
        <v>45926</v>
      </c>
      <c r="J80" s="47">
        <f t="shared" si="6"/>
        <v>386</v>
      </c>
      <c r="K80" s="48" t="s">
        <v>30</v>
      </c>
      <c r="L80" s="30" t="s">
        <v>120</v>
      </c>
      <c r="M80" s="30">
        <v>9</v>
      </c>
      <c r="N80" s="48">
        <f t="shared" si="11"/>
        <v>386</v>
      </c>
      <c r="O80" s="30">
        <f t="shared" ca="1" si="7"/>
        <v>0</v>
      </c>
      <c r="P80" s="30">
        <f t="shared" si="8"/>
        <v>89</v>
      </c>
      <c r="Q80" s="10"/>
    </row>
    <row r="81" spans="1:17">
      <c r="A81" s="44" t="s">
        <v>108</v>
      </c>
      <c r="B81" s="44" t="s">
        <v>31</v>
      </c>
      <c r="C81" s="44">
        <f t="shared" si="9"/>
        <v>0</v>
      </c>
      <c r="D81" s="45">
        <f t="shared" si="10"/>
        <v>0</v>
      </c>
      <c r="E81" s="45" t="str">
        <f t="array" ref="E81">_xlfn.TEXTJOIN("; ", TRUE, IF(($C$4:$C$64 = A81) * ($L$4:$L$64 &lt;&gt; "终孔"), $B$4:$B$64, ""))</f>
        <v>ZK-50</v>
      </c>
      <c r="F81" s="45">
        <f t="shared" si="2"/>
        <v>538.80999999999995</v>
      </c>
      <c r="G81" s="45">
        <f t="shared" si="3"/>
        <v>301</v>
      </c>
      <c r="H81" s="45">
        <f t="shared" si="4"/>
        <v>116</v>
      </c>
      <c r="I81" s="46">
        <f t="shared" si="5"/>
        <v>45927</v>
      </c>
      <c r="J81" s="47">
        <f t="shared" si="6"/>
        <v>301</v>
      </c>
      <c r="K81" s="48" t="s">
        <v>30</v>
      </c>
      <c r="L81" s="30" t="s">
        <v>121</v>
      </c>
      <c r="M81" s="30">
        <v>7</v>
      </c>
      <c r="N81" s="48">
        <f t="shared" si="11"/>
        <v>301</v>
      </c>
      <c r="O81" s="30">
        <f t="shared" ca="1" si="7"/>
        <v>0</v>
      </c>
      <c r="P81" s="30">
        <f t="shared" si="8"/>
        <v>116</v>
      </c>
      <c r="Q81" s="10"/>
    </row>
    <row r="82" spans="1:17">
      <c r="A82" s="44" t="s">
        <v>109</v>
      </c>
      <c r="B82" s="44" t="s">
        <v>32</v>
      </c>
      <c r="C82" s="44">
        <f t="shared" si="9"/>
        <v>1</v>
      </c>
      <c r="D82" s="45">
        <f t="shared" si="10"/>
        <v>127.99</v>
      </c>
      <c r="E82" s="45" t="str">
        <f t="array" ref="E82">_xlfn.TEXTJOIN("; ", TRUE, IF(($C$4:$C$64 = A82) * ($L$4:$L$64 &lt;&gt; "终孔"), $B$4:$B$64, ""))</f>
        <v>ZK-51</v>
      </c>
      <c r="F82" s="45">
        <f t="shared" si="2"/>
        <v>622.66</v>
      </c>
      <c r="G82" s="45">
        <f t="shared" si="3"/>
        <v>141</v>
      </c>
      <c r="H82" s="45">
        <f t="shared" si="4"/>
        <v>41</v>
      </c>
      <c r="I82" s="46">
        <f t="shared" si="5"/>
        <v>45924</v>
      </c>
      <c r="J82" s="47">
        <f t="shared" si="6"/>
        <v>141</v>
      </c>
      <c r="K82" s="48" t="s">
        <v>30</v>
      </c>
      <c r="L82" s="30" t="s">
        <v>122</v>
      </c>
      <c r="M82" s="30">
        <v>4</v>
      </c>
      <c r="N82" s="48">
        <f>D82+J82</f>
        <v>268.99</v>
      </c>
      <c r="O82" s="30">
        <f t="shared" ca="1" si="7"/>
        <v>0</v>
      </c>
      <c r="P82" s="30">
        <f t="shared" si="8"/>
        <v>41</v>
      </c>
      <c r="Q82" s="10"/>
    </row>
    <row r="83" spans="1:17">
      <c r="A83" s="49" t="s">
        <v>110</v>
      </c>
      <c r="B83" s="49" t="s">
        <v>31</v>
      </c>
      <c r="C83" s="49">
        <f t="shared" si="9"/>
        <v>2</v>
      </c>
      <c r="D83" s="50">
        <f t="shared" si="10"/>
        <v>273.2</v>
      </c>
      <c r="E83" s="50" t="str">
        <f t="array" ref="E83">_xlfn.TEXTJOIN("; ", TRUE, IF(($C$4:$C$64 = A83) * ($L$4:$L$64 &lt;&gt; "终孔"), $B$4:$B$64, ""))</f>
        <v/>
      </c>
      <c r="F83" s="50" t="e">
        <f t="shared" si="2"/>
        <v>#N/A</v>
      </c>
      <c r="G83" s="50" t="e">
        <f t="shared" si="3"/>
        <v>#N/A</v>
      </c>
      <c r="H83" s="50" t="e">
        <f t="shared" si="4"/>
        <v>#N/A</v>
      </c>
      <c r="I83" s="51" t="e">
        <f t="shared" si="5"/>
        <v>#N/A</v>
      </c>
      <c r="J83" s="52">
        <f t="shared" si="6"/>
        <v>0</v>
      </c>
      <c r="K83" s="53" t="s">
        <v>33</v>
      </c>
      <c r="L83" s="54" t="s">
        <v>123</v>
      </c>
      <c r="M83" s="7"/>
      <c r="N83" s="53">
        <f t="shared" ref="N83" si="12">D83+J83</f>
        <v>273.2</v>
      </c>
      <c r="O83" s="54">
        <f t="shared" ca="1" si="7"/>
        <v>0</v>
      </c>
      <c r="P83" s="54">
        <f t="shared" si="8"/>
        <v>0</v>
      </c>
      <c r="Q83" s="10"/>
    </row>
    <row r="84" spans="1:17">
      <c r="A84" s="49" t="s">
        <v>111</v>
      </c>
      <c r="B84" s="49" t="s">
        <v>31</v>
      </c>
      <c r="C84" s="49">
        <f t="shared" si="9"/>
        <v>7</v>
      </c>
      <c r="D84" s="50">
        <f t="shared" si="10"/>
        <v>827.11</v>
      </c>
      <c r="E84" s="50" t="str">
        <f t="array" ref="E84">_xlfn.TEXTJOIN("; ", TRUE, IF(($C$4:$C$64 = A84) * ($L$4:$L$64 &lt;&gt; "终孔"), $B$4:$B$64, ""))</f>
        <v/>
      </c>
      <c r="F84" s="50" t="e">
        <f t="shared" si="2"/>
        <v>#N/A</v>
      </c>
      <c r="G84" s="50" t="e">
        <f t="shared" si="3"/>
        <v>#N/A</v>
      </c>
      <c r="H84" s="50" t="e">
        <f t="shared" si="4"/>
        <v>#N/A</v>
      </c>
      <c r="I84" s="51" t="e">
        <f t="shared" si="5"/>
        <v>#N/A</v>
      </c>
      <c r="J84" s="52">
        <f t="shared" si="6"/>
        <v>0</v>
      </c>
      <c r="K84" s="53" t="s">
        <v>33</v>
      </c>
      <c r="L84" s="54" t="s">
        <v>124</v>
      </c>
      <c r="M84" s="7"/>
      <c r="N84" s="53">
        <f>D84+J84</f>
        <v>827.11</v>
      </c>
      <c r="O84" s="54">
        <f t="shared" ca="1" si="7"/>
        <v>0</v>
      </c>
      <c r="P84" s="54">
        <f t="shared" si="8"/>
        <v>0</v>
      </c>
      <c r="Q84" s="10"/>
    </row>
    <row r="85" spans="1:17">
      <c r="A85" s="49" t="s">
        <v>112</v>
      </c>
      <c r="B85" s="49" t="s">
        <v>32</v>
      </c>
      <c r="C85" s="49">
        <f>COUNTIFS($C$4:$C$64,A85,$L$4:$L$64,"终孔")</f>
        <v>3</v>
      </c>
      <c r="D85" s="50">
        <f>SUMIF($C$4:$C$64,A85,$J$4:$J$64)</f>
        <v>1333.75</v>
      </c>
      <c r="E85" s="50" t="str">
        <f t="array" ref="E85">_xlfn.TEXTJOIN("; ", TRUE, IF(($C$4:$C$64 = A85) * ($L$4:$L$64 &lt;&gt; "终孔"), $B$4:$B$64, ""))</f>
        <v/>
      </c>
      <c r="F85" s="50" t="e">
        <f>VLOOKUP($E85,$B$4:$L$64,5,FALSE)</f>
        <v>#N/A</v>
      </c>
      <c r="G85" s="50" t="e">
        <f>VLOOKUP($E85,$B$4:$L$64,8,FALSE)</f>
        <v>#N/A</v>
      </c>
      <c r="H85" s="50" t="e">
        <f>VLOOKUP($E85,$B$4:$L$64,7,FALSE)</f>
        <v>#N/A</v>
      </c>
      <c r="I85" s="51" t="e">
        <f>VLOOKUP($E85,$B$4:$L$64,4,FALSE)</f>
        <v>#N/A</v>
      </c>
      <c r="J85" s="52">
        <f>SUMIF($C$4:$C$64,A85,$I$4:$I$64)</f>
        <v>0</v>
      </c>
      <c r="K85" s="53" t="s">
        <v>33</v>
      </c>
      <c r="L85" s="54" t="s">
        <v>125</v>
      </c>
      <c r="M85" s="7"/>
      <c r="N85" s="53">
        <f>D85+J85</f>
        <v>1333.75</v>
      </c>
      <c r="O85" s="54">
        <f ca="1">COUNTIFS($K$4:$K$64, TODAY(), $L$4:$L$64, "终孔", $C$4:$C$64, A85)</f>
        <v>0</v>
      </c>
      <c r="P85" s="54">
        <f>SUMIFS($H$4:$H$64,$C$4:$C$64,A85)</f>
        <v>0</v>
      </c>
      <c r="Q85" s="10"/>
    </row>
    <row r="86" spans="1:17">
      <c r="A86" s="49" t="s">
        <v>113</v>
      </c>
      <c r="B86" s="49" t="s">
        <v>31</v>
      </c>
      <c r="C86" s="49">
        <f t="shared" ref="C86:C87" si="13">COUNTIFS($C$4:$C$64,A86,$L$4:$L$64,"终孔")</f>
        <v>1</v>
      </c>
      <c r="D86" s="50">
        <f t="shared" ref="D86:D88" si="14">SUMIF($C$4:$C$64,A86,$J$4:$J$64)</f>
        <v>160.13</v>
      </c>
      <c r="E86" s="50" t="str">
        <f t="array" ref="E86">_xlfn.TEXTJOIN("; ", TRUE, IF(($C$4:$C$64 = A86) * ($L$4:$L$64 &lt;&gt; "终孔"), $B$4:$B$64, ""))</f>
        <v/>
      </c>
      <c r="F86" s="50" t="e">
        <f t="shared" ref="F86:F89" si="15">VLOOKUP($E86,$B$4:$L$64,5,FALSE)</f>
        <v>#N/A</v>
      </c>
      <c r="G86" s="50" t="e">
        <f t="shared" ref="G86:G89" si="16">VLOOKUP($E86,$B$4:$L$64,8,FALSE)</f>
        <v>#N/A</v>
      </c>
      <c r="H86" s="50" t="e">
        <f t="shared" ref="H86:H89" si="17">VLOOKUP($E86,$B$4:$L$64,7,FALSE)</f>
        <v>#N/A</v>
      </c>
      <c r="I86" s="51" t="e">
        <f t="shared" ref="I86:I89" si="18">VLOOKUP($E86,$B$4:$L$64,4,FALSE)</f>
        <v>#N/A</v>
      </c>
      <c r="J86" s="52">
        <f t="shared" ref="J86:J89" si="19">SUMIF($C$4:$C$64,A86,$I$4:$I$64)</f>
        <v>0</v>
      </c>
      <c r="K86" s="53" t="s">
        <v>33</v>
      </c>
      <c r="L86" s="54" t="s">
        <v>126</v>
      </c>
      <c r="M86" s="7"/>
      <c r="N86" s="53">
        <f t="shared" ref="N86" si="20">D86+J86</f>
        <v>160.13</v>
      </c>
      <c r="O86" s="54">
        <f t="shared" ref="O86:O89" ca="1" si="21">COUNTIFS($K$4:$K$64, TODAY(), $L$4:$L$64, "终孔", $C$4:$C$64, A86)</f>
        <v>0</v>
      </c>
      <c r="P86" s="54">
        <f t="shared" ref="P86:P89" si="22">SUMIFS($H$4:$H$64,$C$4:$C$64,A86)</f>
        <v>0</v>
      </c>
      <c r="Q86" s="10"/>
    </row>
    <row r="87" spans="1:17">
      <c r="A87" s="49" t="s">
        <v>114</v>
      </c>
      <c r="B87" s="49" t="s">
        <v>29</v>
      </c>
      <c r="C87" s="49">
        <f t="shared" si="13"/>
        <v>3</v>
      </c>
      <c r="D87" s="50">
        <f t="shared" si="14"/>
        <v>1067.21</v>
      </c>
      <c r="E87" s="50" t="str">
        <f t="array" ref="E87">_xlfn.TEXTJOIN("; ", TRUE, IF(($C$4:$C$64 = A87) * ($L$4:$L$64 &lt;&gt; "终孔"), $B$4:$B$64, ""))</f>
        <v/>
      </c>
      <c r="F87" s="50" t="e">
        <f t="shared" si="15"/>
        <v>#N/A</v>
      </c>
      <c r="G87" s="50" t="e">
        <f t="shared" si="16"/>
        <v>#N/A</v>
      </c>
      <c r="H87" s="50" t="e">
        <f t="shared" si="17"/>
        <v>#N/A</v>
      </c>
      <c r="I87" s="51" t="e">
        <f t="shared" si="18"/>
        <v>#N/A</v>
      </c>
      <c r="J87" s="52">
        <f t="shared" si="19"/>
        <v>0</v>
      </c>
      <c r="K87" s="53" t="s">
        <v>33</v>
      </c>
      <c r="L87" s="54" t="s">
        <v>127</v>
      </c>
      <c r="M87" s="7"/>
      <c r="N87" s="53">
        <f>D87+J87</f>
        <v>1067.21</v>
      </c>
      <c r="O87" s="54">
        <f t="shared" ca="1" si="21"/>
        <v>0</v>
      </c>
      <c r="P87" s="54">
        <f t="shared" si="22"/>
        <v>0</v>
      </c>
      <c r="Q87" s="10"/>
    </row>
    <row r="88" spans="1:17">
      <c r="A88" s="49" t="s">
        <v>115</v>
      </c>
      <c r="B88" s="49" t="s">
        <v>29</v>
      </c>
      <c r="C88" s="49">
        <f>COUNTIFS($C$4:$C$64,A88,$L$4:$L$64,"终孔")</f>
        <v>1</v>
      </c>
      <c r="D88" s="50">
        <f t="shared" si="14"/>
        <v>417.85</v>
      </c>
      <c r="E88" s="50" t="str">
        <f t="array" ref="E88">_xlfn.TEXTJOIN("; ", TRUE, IF(($C$4:$C$64 = A88) * ($L$4:$L$64 &lt;&gt; "终孔"), $B$4:$B$64, ""))</f>
        <v/>
      </c>
      <c r="F88" s="50" t="e">
        <f t="shared" si="15"/>
        <v>#N/A</v>
      </c>
      <c r="G88" s="50" t="e">
        <f t="shared" si="16"/>
        <v>#N/A</v>
      </c>
      <c r="H88" s="50" t="e">
        <f t="shared" si="17"/>
        <v>#N/A</v>
      </c>
      <c r="I88" s="51" t="e">
        <f t="shared" si="18"/>
        <v>#N/A</v>
      </c>
      <c r="J88" s="52">
        <f t="shared" si="19"/>
        <v>0</v>
      </c>
      <c r="K88" s="53" t="s">
        <v>33</v>
      </c>
      <c r="L88" s="54" t="s">
        <v>128</v>
      </c>
      <c r="M88" s="7"/>
      <c r="N88" s="53">
        <f>D88+J88</f>
        <v>417.85</v>
      </c>
      <c r="O88" s="54">
        <f t="shared" ca="1" si="21"/>
        <v>0</v>
      </c>
      <c r="P88" s="54">
        <f t="shared" si="22"/>
        <v>0</v>
      </c>
      <c r="Q88" s="10"/>
    </row>
    <row r="89" spans="1:17">
      <c r="A89" s="39" t="s">
        <v>34</v>
      </c>
      <c r="B89" s="39"/>
      <c r="C89" s="39"/>
      <c r="D89" s="40"/>
      <c r="E89" s="40" t="str">
        <f t="array" ref="E89">_xlfn.TEXTJOIN("; ", TRUE, IF(($C$4:$C$64 = A89) * ($L$4:$L$64 &lt;&gt; "终孔"), $B$4:$B$64, ""))</f>
        <v/>
      </c>
      <c r="F89" s="40" t="e">
        <f t="shared" si="15"/>
        <v>#N/A</v>
      </c>
      <c r="G89" s="40" t="e">
        <f t="shared" si="16"/>
        <v>#N/A</v>
      </c>
      <c r="H89" s="40" t="e">
        <f t="shared" si="17"/>
        <v>#N/A</v>
      </c>
      <c r="I89" s="41" t="e">
        <f t="shared" si="18"/>
        <v>#N/A</v>
      </c>
      <c r="J89" s="42">
        <f t="shared" si="19"/>
        <v>0</v>
      </c>
      <c r="K89" s="2"/>
      <c r="L89" s="2"/>
      <c r="M89" s="2">
        <v>2</v>
      </c>
      <c r="N89" s="2">
        <f t="shared" ref="N89" si="23">D89+J89</f>
        <v>0</v>
      </c>
      <c r="O89" s="2">
        <f t="shared" ca="1" si="21"/>
        <v>0</v>
      </c>
      <c r="P89" s="2">
        <f t="shared" si="22"/>
        <v>0</v>
      </c>
      <c r="Q89" s="10"/>
    </row>
    <row r="90" spans="1:17" ht="16.2">
      <c r="A90" s="35" t="s">
        <v>35</v>
      </c>
      <c r="B90" s="35"/>
      <c r="C90" s="39">
        <f>SUM(C71:C89)</f>
        <v>47</v>
      </c>
      <c r="D90" s="55">
        <f>SUM(D71:D89)</f>
        <v>11154.979999999998</v>
      </c>
      <c r="E90" s="55"/>
      <c r="F90" s="55"/>
      <c r="G90" s="55"/>
      <c r="H90" s="55"/>
      <c r="I90" s="56"/>
      <c r="J90" s="57">
        <f>SUM(J71:J89)</f>
        <v>2606.6999999999998</v>
      </c>
      <c r="K90" s="58"/>
      <c r="L90" s="2"/>
      <c r="M90" s="2">
        <f>SUM(M71:M89)</f>
        <v>41</v>
      </c>
      <c r="N90" s="58">
        <f>SUM(N75:N89)</f>
        <v>13761.679999999998</v>
      </c>
      <c r="O90" s="2"/>
      <c r="P90" s="2"/>
      <c r="Q90" s="10"/>
    </row>
    <row r="91" spans="1:17" ht="16.2">
      <c r="A91" s="38"/>
      <c r="B91" s="38"/>
      <c r="C91" s="10"/>
      <c r="D91" s="59"/>
      <c r="E91" s="59"/>
      <c r="F91" s="59"/>
      <c r="G91" s="59"/>
      <c r="H91" s="59"/>
      <c r="I91" s="60"/>
      <c r="J91" s="59"/>
      <c r="K91" s="59"/>
      <c r="L91" s="10"/>
      <c r="M91" s="10"/>
    </row>
    <row r="92" spans="1:17" ht="16.2">
      <c r="A92" s="61" t="s">
        <v>36</v>
      </c>
      <c r="B92" s="61" t="s">
        <v>37</v>
      </c>
      <c r="C92" s="62" t="s">
        <v>38</v>
      </c>
      <c r="D92" s="62" t="s">
        <v>39</v>
      </c>
      <c r="E92" s="62" t="s">
        <v>40</v>
      </c>
      <c r="F92" s="63" t="s">
        <v>41</v>
      </c>
      <c r="G92" s="63" t="s">
        <v>42</v>
      </c>
      <c r="H92" s="63" t="s">
        <v>17</v>
      </c>
      <c r="I92" s="58" t="s">
        <v>25</v>
      </c>
      <c r="J92" s="59"/>
      <c r="K92" s="60"/>
      <c r="L92" s="59"/>
      <c r="M92" s="59"/>
      <c r="N92" s="10"/>
      <c r="O92" s="10"/>
    </row>
    <row r="93" spans="1:17">
      <c r="A93" s="64">
        <f ca="1">TODAY()</f>
        <v>45931</v>
      </c>
      <c r="B93" s="65" t="s">
        <v>43</v>
      </c>
      <c r="C93" s="2">
        <f>COUNTIF(K71:K89,"在场")</f>
        <v>7</v>
      </c>
      <c r="D93" s="2">
        <f>SUM(M71:M89)</f>
        <v>41</v>
      </c>
      <c r="E93" s="2">
        <f>COUNTIF(L3:L206,"终孔")</f>
        <v>47</v>
      </c>
      <c r="F93" s="43">
        <f>SUM(D71:D89)</f>
        <v>11154.979999999998</v>
      </c>
      <c r="G93" s="2" t="str">
        <f>(COUNTIF(B4:B64,"*")-COUNTIF(L4:L64,"终孔"))&amp;"个"</f>
        <v>7个</v>
      </c>
      <c r="H93" s="4">
        <f>SUM(I4:I64)</f>
        <v>2606.6999999999998</v>
      </c>
      <c r="I93" s="2">
        <f>SUM(H6:H64)</f>
        <v>575.5</v>
      </c>
    </row>
  </sheetData>
  <autoFilter ref="A3:M51" xr:uid="{77B8DD9D-DD62-4408-9DEE-78A00063B60D}">
    <sortState xmlns:xlrd2="http://schemas.microsoft.com/office/spreadsheetml/2017/richdata2" ref="A4:M19">
      <sortCondition ref="A3"/>
    </sortState>
  </autoFilter>
  <mergeCells count="11">
    <mergeCell ref="A2:M2"/>
    <mergeCell ref="A1:M1"/>
    <mergeCell ref="M65:M66"/>
    <mergeCell ref="A65:A66"/>
    <mergeCell ref="F65:F66"/>
    <mergeCell ref="G65:G66"/>
    <mergeCell ref="H65:H66"/>
    <mergeCell ref="I65:I66"/>
    <mergeCell ref="J65:J66"/>
    <mergeCell ref="K65:K66"/>
    <mergeCell ref="L65:L66"/>
  </mergeCells>
  <phoneticPr fontId="2" type="noConversion"/>
  <conditionalFormatting sqref="B4:B17">
    <cfRule type="duplicateValues" dxfId="12" priority="11"/>
  </conditionalFormatting>
  <conditionalFormatting sqref="B4:B19">
    <cfRule type="duplicateValues" dxfId="11" priority="10"/>
  </conditionalFormatting>
  <conditionalFormatting sqref="B3:B22">
    <cfRule type="duplicateValues" dxfId="10" priority="9"/>
  </conditionalFormatting>
  <conditionalFormatting sqref="B3:B38">
    <cfRule type="duplicateValues" dxfId="9" priority="8"/>
  </conditionalFormatting>
  <conditionalFormatting sqref="B3:B39">
    <cfRule type="duplicateValues" dxfId="8" priority="7"/>
  </conditionalFormatting>
  <conditionalFormatting sqref="B4:B39">
    <cfRule type="duplicateValues" dxfId="7" priority="6"/>
  </conditionalFormatting>
  <conditionalFormatting sqref="B4:B59 B61:B63">
    <cfRule type="duplicateValues" dxfId="6" priority="12"/>
  </conditionalFormatting>
  <conditionalFormatting sqref="B65:B66 B4:B59 B61:B63">
    <cfRule type="duplicateValues" dxfId="5" priority="5"/>
  </conditionalFormatting>
  <conditionalFormatting sqref="B4:B56">
    <cfRule type="duplicateValues" dxfId="4" priority="4"/>
  </conditionalFormatting>
  <conditionalFormatting sqref="B4:B59">
    <cfRule type="duplicateValues" dxfId="3" priority="3"/>
  </conditionalFormatting>
  <conditionalFormatting sqref="B60">
    <cfRule type="duplicateValues" dxfId="2" priority="1"/>
  </conditionalFormatting>
  <conditionalFormatting sqref="B60">
    <cfRule type="duplicateValues" dxfId="1" priority="2"/>
  </conditionalFormatting>
  <conditionalFormatting sqref="B51:B59 B3:B49 B61:B63">
    <cfRule type="duplicateValues" dxfId="0" priority="13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日常更新</vt:lpstr>
      <vt:lpstr>汇总统计行</vt:lpstr>
      <vt:lpstr>机台数据表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Sean</dc:creator>
  <cp:lastModifiedBy>Bruce Sean</cp:lastModifiedBy>
  <dcterms:created xsi:type="dcterms:W3CDTF">2025-09-30T15:29:12Z</dcterms:created>
  <dcterms:modified xsi:type="dcterms:W3CDTF">2025-09-30T16:19:57Z</dcterms:modified>
</cp:coreProperties>
</file>