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65" tabRatio="751"/>
  </bookViews>
  <sheets>
    <sheet name="2022年一季度6户控股及实际管理" sheetId="2" r:id="rId1"/>
    <sheet name="2022年一季度8户参股企业" sheetId="1" r:id="rId2"/>
    <sheet name="近三年效益6户控股及实际管理企业" sheetId="3" r:id="rId3"/>
    <sheet name="近三年效益8户参股企业" sheetId="4" r:id="rId4"/>
    <sheet name="英大三家财务经营情况表" sheetId="5" state="hidden" r:id="rId5"/>
    <sheet name="英大三家近三年经营效益" sheetId="6" state="hidden" r:id="rId6"/>
  </sheets>
  <definedNames>
    <definedName name="_xlnm._FilterDatabase" localSheetId="2" hidden="1">近三年效益6户控股及实际管理企业!#REF!</definedName>
    <definedName name="_xlnm._FilterDatabase" localSheetId="3" hidden="1">近三年效益8户参股企业!#REF!</definedName>
    <definedName name="_xlnm.Print_Area" localSheetId="2">近三年效益6户控股及实际管理企业!$A$1:$Y$13</definedName>
    <definedName name="_xlnm.Print_Area" localSheetId="1">'2022年一季度8户参股企业'!$A$1:$O$15</definedName>
    <definedName name="_xlnm.Print_Area" localSheetId="0">'2022年一季度6户控股及实际管理'!$A$1:$O$14</definedName>
    <definedName name="_xlnm.Print_Area" localSheetId="3">近三年效益8户参股企业!$A$1:$Y$15</definedName>
  </definedNames>
  <calcPr calcId="144525"/>
</workbook>
</file>

<file path=xl/sharedStrings.xml><?xml version="1.0" encoding="utf-8"?>
<sst xmlns="http://schemas.openxmlformats.org/spreadsheetml/2006/main" count="73">
  <si>
    <t>附件2-2：</t>
  </si>
  <si>
    <t>2022年一季度省公司6户控股及实际管理企业财务经营情况表</t>
  </si>
  <si>
    <t>单位：万元</t>
  </si>
  <si>
    <t>序号</t>
  </si>
  <si>
    <t>被投资企业名称</t>
  </si>
  <si>
    <t>资产情况</t>
  </si>
  <si>
    <t>经营效益情况</t>
  </si>
  <si>
    <t>资产总额</t>
  </si>
  <si>
    <t>所有者权益</t>
  </si>
  <si>
    <t>营业总收入</t>
  </si>
  <si>
    <t>利润总额</t>
  </si>
  <si>
    <t>其中：未分配利润</t>
  </si>
  <si>
    <t>年度预算数</t>
  </si>
  <si>
    <t>本年累计数</t>
  </si>
  <si>
    <t>上年同期数</t>
  </si>
  <si>
    <t>预算完成率</t>
  </si>
  <si>
    <t>同比增长率</t>
  </si>
  <si>
    <t>水口集团</t>
  </si>
  <si>
    <t>综合能源</t>
  </si>
  <si>
    <t>电动汽车</t>
  </si>
  <si>
    <t>宁德环三</t>
  </si>
  <si>
    <t>环湾能源</t>
  </si>
  <si>
    <t>闽粤联网</t>
  </si>
  <si>
    <t>合计</t>
  </si>
  <si>
    <t>2022年一季度省公司8户参股企业财务经营情况表</t>
  </si>
  <si>
    <t>备注</t>
  </si>
  <si>
    <t>港城能源</t>
  </si>
  <si>
    <t>厦门海华科技</t>
  </si>
  <si>
    <t>因为每个月结账后（2号），报表都需要报送至各股东方，厦门海华公司是每个月有定期报送至国网福建省电力有限公司厦门供电公司，所以需要与国网厦门供电公司沟通每个月报送到国网厦门供电公司的资料，华夏与国网厦门供电公司直接沟通要材料。</t>
  </si>
  <si>
    <t>厦门火炬新源</t>
  </si>
  <si>
    <t>古雷能源科技</t>
  </si>
  <si>
    <t>/</t>
  </si>
  <si>
    <t>厦门抽水蓄能</t>
  </si>
  <si>
    <t>处于建设期未实体化运作</t>
  </si>
  <si>
    <t>仙游抽水蓄能</t>
  </si>
  <si>
    <t>泉州安平电力</t>
  </si>
  <si>
    <t>招商局漳州供电</t>
  </si>
  <si>
    <t>省公司6户控股及实际管理企业近三年经营效益情况表</t>
  </si>
  <si>
    <t>投资年份</t>
  </si>
  <si>
    <t>投资成本</t>
  </si>
  <si>
    <t>股比</t>
  </si>
  <si>
    <t>近三年财务经营情况</t>
  </si>
  <si>
    <t>投资报酬情况</t>
  </si>
  <si>
    <t>2019年</t>
  </si>
  <si>
    <t>2020年</t>
  </si>
  <si>
    <t>2021年</t>
  </si>
  <si>
    <t>收到分红情况</t>
  </si>
  <si>
    <t>累计投资报酬率</t>
  </si>
  <si>
    <t>年均报酬率</t>
  </si>
  <si>
    <t>营业收入</t>
  </si>
  <si>
    <t>销售利润率</t>
  </si>
  <si>
    <t>净资产收益率</t>
  </si>
  <si>
    <t>2018年</t>
  </si>
  <si>
    <t>历年累计分红</t>
  </si>
  <si>
    <t>实际到账</t>
  </si>
  <si>
    <t>2017年6月</t>
  </si>
  <si>
    <t>65%</t>
  </si>
  <si>
    <t>2018年新设单位无分红</t>
  </si>
  <si>
    <t>2020年新设单位无分红</t>
  </si>
  <si>
    <t>省公司8户参股企业近三年经营效益情况表</t>
  </si>
  <si>
    <t>50%</t>
  </si>
  <si>
    <t>因2020年微利未分红</t>
  </si>
  <si>
    <t>未成立</t>
  </si>
  <si>
    <t>当年刚成立未实体化运作无数据</t>
  </si>
  <si>
    <t>当年新设单位无分红</t>
  </si>
  <si>
    <t>这三年未成立</t>
  </si>
  <si>
    <t>2022年一季度省公司11户参股企业财务经营情况表</t>
  </si>
  <si>
    <t>英大长安经纪</t>
  </si>
  <si>
    <t>需发送红头文件</t>
  </si>
  <si>
    <t>英大财产保险</t>
  </si>
  <si>
    <t>英大人寿保险</t>
  </si>
  <si>
    <t>附件2-3：</t>
  </si>
  <si>
    <t>省公司11户参股企业近三年经营效益情况表</t>
  </si>
</sst>
</file>

<file path=xl/styles.xml><?xml version="1.0" encoding="utf-8"?>
<styleSheet xmlns="http://schemas.openxmlformats.org/spreadsheetml/2006/main">
  <numFmts count="8">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_ * #,##0_ ;_ * \-#,##0_ ;_ * &quot;-&quot;??_ ;_ @_ "/>
    <numFmt numFmtId="177" formatCode="#,##0_ "/>
    <numFmt numFmtId="178" formatCode="yyyy&quot;年&quot;m&quot;月&quot;;@"/>
    <numFmt numFmtId="179" formatCode="0_ "/>
  </numFmts>
  <fonts count="42">
    <font>
      <sz val="11"/>
      <color theme="1"/>
      <name val="宋体"/>
      <charset val="134"/>
      <scheme val="minor"/>
    </font>
    <font>
      <sz val="11"/>
      <color theme="1"/>
      <name val="黑体"/>
      <charset val="134"/>
    </font>
    <font>
      <b/>
      <sz val="11"/>
      <color theme="1"/>
      <name val="宋体"/>
      <charset val="134"/>
      <scheme val="minor"/>
    </font>
    <font>
      <b/>
      <sz val="16"/>
      <color theme="1"/>
      <name val="宋体"/>
      <charset val="134"/>
      <scheme val="minor"/>
    </font>
    <font>
      <sz val="11"/>
      <name val="黑体"/>
      <charset val="134"/>
    </font>
    <font>
      <sz val="11"/>
      <color rgb="FF000000"/>
      <name val="黑体"/>
      <charset val="134"/>
    </font>
    <font>
      <sz val="11"/>
      <name val="宋体"/>
      <charset val="134"/>
    </font>
    <font>
      <sz val="11"/>
      <color rgb="FF000000"/>
      <name val="宋体"/>
      <charset val="134"/>
      <scheme val="major"/>
    </font>
    <font>
      <sz val="11"/>
      <color rgb="FF000000"/>
      <name val="Arial"/>
      <charset val="134"/>
    </font>
    <font>
      <sz val="11"/>
      <color theme="1"/>
      <name val="Arial"/>
      <charset val="134"/>
    </font>
    <font>
      <b/>
      <sz val="11"/>
      <color rgb="FF000000"/>
      <name val="Arial"/>
      <charset val="134"/>
    </font>
    <font>
      <sz val="10"/>
      <color theme="1"/>
      <name val="宋体"/>
      <charset val="134"/>
      <scheme val="minor"/>
    </font>
    <font>
      <sz val="10"/>
      <color rgb="FF000000"/>
      <name val="Arial"/>
      <charset val="134"/>
    </font>
    <font>
      <sz val="16"/>
      <color theme="1"/>
      <name val="方正仿宋_GBK"/>
      <charset val="134"/>
    </font>
    <font>
      <sz val="10"/>
      <color theme="1"/>
      <name val="Arial"/>
      <charset val="134"/>
    </font>
    <font>
      <sz val="11"/>
      <color rgb="FF000000"/>
      <name val="宋体"/>
      <charset val="134"/>
    </font>
    <font>
      <sz val="11"/>
      <color rgb="FF000000"/>
      <name val="Arial"/>
      <charset val="0"/>
    </font>
    <font>
      <sz val="10"/>
      <color theme="1"/>
      <name val="黑体"/>
      <charset val="134"/>
    </font>
    <font>
      <b/>
      <sz val="10"/>
      <color theme="1"/>
      <name val="宋体"/>
      <charset val="134"/>
      <scheme val="minor"/>
    </font>
    <font>
      <sz val="10"/>
      <name val="黑体"/>
      <charset val="134"/>
    </font>
    <font>
      <b/>
      <sz val="10"/>
      <color rgb="FF000000"/>
      <name val="Arial"/>
      <charset val="134"/>
    </font>
    <font>
      <b/>
      <sz val="10"/>
      <color theme="1"/>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9"/>
      <name val="宋体"/>
      <charset val="134"/>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22" fillId="19" borderId="0" applyNumberFormat="0" applyBorder="0" applyAlignment="0" applyProtection="0">
      <alignment vertical="center"/>
    </xf>
    <xf numFmtId="0" fontId="37" fillId="17"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5" borderId="0" applyNumberFormat="0" applyBorder="0" applyAlignment="0" applyProtection="0">
      <alignment vertical="center"/>
    </xf>
    <xf numFmtId="0" fontId="29" fillId="8" borderId="0" applyNumberFormat="0" applyBorder="0" applyAlignment="0" applyProtection="0">
      <alignment vertical="center"/>
    </xf>
    <xf numFmtId="43" fontId="0" fillId="0" borderId="0" applyFont="0" applyFill="0" applyBorder="0" applyAlignment="0" applyProtection="0">
      <alignment vertical="center"/>
    </xf>
    <xf numFmtId="0" fontId="30" fillId="21"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2" borderId="16" applyNumberFormat="0" applyFont="0" applyAlignment="0" applyProtection="0">
      <alignment vertical="center"/>
    </xf>
    <xf numFmtId="0" fontId="30" fillId="16"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14" applyNumberFormat="0" applyFill="0" applyAlignment="0" applyProtection="0">
      <alignment vertical="center"/>
    </xf>
    <xf numFmtId="0" fontId="24" fillId="0" borderId="14" applyNumberFormat="0" applyFill="0" applyAlignment="0" applyProtection="0">
      <alignment vertical="center"/>
    </xf>
    <xf numFmtId="0" fontId="30" fillId="20" borderId="0" applyNumberFormat="0" applyBorder="0" applyAlignment="0" applyProtection="0">
      <alignment vertical="center"/>
    </xf>
    <xf numFmtId="0" fontId="27" fillId="0" borderId="18" applyNumberFormat="0" applyFill="0" applyAlignment="0" applyProtection="0">
      <alignment vertical="center"/>
    </xf>
    <xf numFmtId="0" fontId="30" fillId="23" borderId="0" applyNumberFormat="0" applyBorder="0" applyAlignment="0" applyProtection="0">
      <alignment vertical="center"/>
    </xf>
    <xf numFmtId="0" fontId="31" fillId="11" borderId="15" applyNumberFormat="0" applyAlignment="0" applyProtection="0">
      <alignment vertical="center"/>
    </xf>
    <xf numFmtId="0" fontId="38" fillId="11" borderId="19" applyNumberFormat="0" applyAlignment="0" applyProtection="0">
      <alignment vertical="center"/>
    </xf>
    <xf numFmtId="0" fontId="23" fillId="4" borderId="13" applyNumberFormat="0" applyAlignment="0" applyProtection="0">
      <alignment vertical="center"/>
    </xf>
    <xf numFmtId="0" fontId="22" fillId="24" borderId="0" applyNumberFormat="0" applyBorder="0" applyAlignment="0" applyProtection="0">
      <alignment vertical="center"/>
    </xf>
    <xf numFmtId="0" fontId="30" fillId="14" borderId="0" applyNumberFormat="0" applyBorder="0" applyAlignment="0" applyProtection="0">
      <alignment vertical="center"/>
    </xf>
    <xf numFmtId="0" fontId="39" fillId="0" borderId="20" applyNumberFormat="0" applyFill="0" applyAlignment="0" applyProtection="0">
      <alignment vertical="center"/>
    </xf>
    <xf numFmtId="0" fontId="33" fillId="0" borderId="17" applyNumberFormat="0" applyFill="0" applyAlignment="0" applyProtection="0">
      <alignment vertical="center"/>
    </xf>
    <xf numFmtId="0" fontId="40" fillId="27" borderId="0" applyNumberFormat="0" applyBorder="0" applyAlignment="0" applyProtection="0">
      <alignment vertical="center"/>
    </xf>
    <xf numFmtId="0" fontId="36" fillId="15" borderId="0" applyNumberFormat="0" applyBorder="0" applyAlignment="0" applyProtection="0">
      <alignment vertical="center"/>
    </xf>
    <xf numFmtId="0" fontId="22" fillId="28" borderId="0" applyNumberFormat="0" applyBorder="0" applyAlignment="0" applyProtection="0">
      <alignment vertical="center"/>
    </xf>
    <xf numFmtId="0" fontId="30" fillId="10" borderId="0" applyNumberFormat="0" applyBorder="0" applyAlignment="0" applyProtection="0">
      <alignment vertical="center"/>
    </xf>
    <xf numFmtId="0" fontId="22" fillId="18" borderId="0" applyNumberFormat="0" applyBorder="0" applyAlignment="0" applyProtection="0">
      <alignment vertical="center"/>
    </xf>
    <xf numFmtId="0" fontId="22" fillId="3" borderId="0" applyNumberFormat="0" applyBorder="0" applyAlignment="0" applyProtection="0">
      <alignment vertical="center"/>
    </xf>
    <xf numFmtId="0" fontId="22" fillId="26" borderId="0" applyNumberFormat="0" applyBorder="0" applyAlignment="0" applyProtection="0">
      <alignment vertical="center"/>
    </xf>
    <xf numFmtId="0" fontId="22" fillId="7" borderId="0" applyNumberFormat="0" applyBorder="0" applyAlignment="0" applyProtection="0">
      <alignment vertical="center"/>
    </xf>
    <xf numFmtId="0" fontId="30" fillId="9" borderId="0" applyNumberFormat="0" applyBorder="0" applyAlignment="0" applyProtection="0">
      <alignment vertical="center"/>
    </xf>
    <xf numFmtId="0" fontId="30" fillId="13" borderId="0" applyNumberFormat="0" applyBorder="0" applyAlignment="0" applyProtection="0">
      <alignment vertical="center"/>
    </xf>
    <xf numFmtId="0" fontId="22" fillId="25" borderId="0" applyNumberFormat="0" applyBorder="0" applyAlignment="0" applyProtection="0">
      <alignment vertical="center"/>
    </xf>
    <xf numFmtId="0" fontId="22" fillId="6" borderId="0" applyNumberFormat="0" applyBorder="0" applyAlignment="0" applyProtection="0">
      <alignment vertical="center"/>
    </xf>
    <xf numFmtId="0" fontId="30" fillId="29" borderId="0" applyNumberFormat="0" applyBorder="0" applyAlignment="0" applyProtection="0">
      <alignment vertical="center"/>
    </xf>
    <xf numFmtId="0" fontId="22"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2" fillId="33" borderId="0" applyNumberFormat="0" applyBorder="0" applyAlignment="0" applyProtection="0">
      <alignment vertical="center"/>
    </xf>
    <xf numFmtId="0" fontId="30" fillId="22" borderId="0" applyNumberFormat="0" applyBorder="0" applyAlignment="0" applyProtection="0">
      <alignment vertical="center"/>
    </xf>
    <xf numFmtId="0" fontId="0" fillId="0" borderId="0">
      <alignment vertical="center"/>
    </xf>
    <xf numFmtId="0" fontId="41" fillId="0" borderId="0">
      <protection locked="0"/>
    </xf>
  </cellStyleXfs>
  <cellXfs count="100">
    <xf numFmtId="0" fontId="0" fillId="0" borderId="0" xfId="0">
      <alignment vertical="center"/>
    </xf>
    <xf numFmtId="0" fontId="1" fillId="0" borderId="0" xfId="0" applyFont="1">
      <alignment vertical="center"/>
    </xf>
    <xf numFmtId="0" fontId="2" fillId="0" borderId="0" xfId="0" applyFont="1">
      <alignment vertical="center"/>
    </xf>
    <xf numFmtId="176" fontId="0" fillId="0" borderId="0" xfId="8" applyNumberFormat="1">
      <alignment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4" fillId="0" borderId="2" xfId="0" applyFont="1" applyFill="1" applyBorder="1" applyAlignment="1">
      <alignment horizontal="center" vertical="center" wrapText="1"/>
    </xf>
    <xf numFmtId="0" fontId="1" fillId="0" borderId="2" xfId="0" applyFont="1" applyBorder="1" applyAlignment="1">
      <alignment horizontal="center"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4" fillId="0" borderId="6"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8" fontId="7" fillId="0" borderId="1" xfId="0" applyNumberFormat="1" applyFont="1" applyFill="1" applyBorder="1" applyAlignment="1">
      <alignment horizontal="center" vertical="center" wrapText="1"/>
    </xf>
    <xf numFmtId="177" fontId="8" fillId="0" borderId="1" xfId="0" applyNumberFormat="1" applyFont="1" applyFill="1" applyBorder="1" applyAlignment="1">
      <alignment horizontal="right" vertical="center" wrapText="1"/>
    </xf>
    <xf numFmtId="10" fontId="9" fillId="0" borderId="1" xfId="11" applyNumberFormat="1" applyFont="1" applyBorder="1">
      <alignment vertical="center"/>
    </xf>
    <xf numFmtId="10" fontId="8" fillId="0" borderId="1" xfId="11" applyNumberFormat="1" applyFont="1" applyFill="1" applyBorder="1" applyAlignment="1">
      <alignment horizontal="right" vertical="center"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lignment vertical="center"/>
    </xf>
    <xf numFmtId="177" fontId="10" fillId="2" borderId="1" xfId="0" applyNumberFormat="1" applyFont="1" applyFill="1" applyBorder="1" applyAlignment="1">
      <alignment horizontal="right" vertical="center" shrinkToFit="1"/>
    </xf>
    <xf numFmtId="0" fontId="2" fillId="2" borderId="1" xfId="0" applyFont="1" applyFill="1" applyBorder="1" applyAlignment="1">
      <alignment horizontal="center" vertical="center" shrinkToFit="1"/>
    </xf>
    <xf numFmtId="10" fontId="10" fillId="2" borderId="1" xfId="11" applyNumberFormat="1" applyFont="1" applyFill="1" applyBorder="1" applyAlignment="1">
      <alignment horizontal="right" vertical="center" shrinkToFit="1"/>
    </xf>
    <xf numFmtId="0" fontId="0" fillId="0" borderId="0" xfId="0" applyAlignment="1">
      <alignment vertical="center" wrapText="1"/>
    </xf>
    <xf numFmtId="0" fontId="5" fillId="0" borderId="7" xfId="0" applyFont="1" applyFill="1" applyBorder="1" applyAlignment="1">
      <alignment horizontal="center" vertical="center" wrapText="1"/>
    </xf>
    <xf numFmtId="10" fontId="9" fillId="0" borderId="1" xfId="11" applyNumberFormat="1" applyFont="1" applyFill="1" applyBorder="1">
      <alignment vertical="center"/>
    </xf>
    <xf numFmtId="0" fontId="4" fillId="0" borderId="1" xfId="0" applyFont="1" applyFill="1" applyBorder="1" applyAlignment="1">
      <alignment horizontal="center" vertical="center" wrapText="1"/>
    </xf>
    <xf numFmtId="176" fontId="1" fillId="0" borderId="0" xfId="8" applyNumberFormat="1" applyFont="1">
      <alignment vertical="center"/>
    </xf>
    <xf numFmtId="14" fontId="0" fillId="0" borderId="0" xfId="0" applyNumberFormat="1">
      <alignment vertical="center"/>
    </xf>
    <xf numFmtId="176" fontId="2" fillId="0" borderId="0" xfId="0" applyNumberFormat="1" applyFont="1">
      <alignment vertical="center"/>
    </xf>
    <xf numFmtId="179" fontId="2" fillId="0" borderId="0" xfId="0" applyNumberFormat="1" applyFont="1">
      <alignment vertical="center"/>
    </xf>
    <xf numFmtId="0" fontId="0" fillId="0" borderId="0" xfId="0" applyFill="1" applyAlignment="1">
      <alignment vertical="center"/>
    </xf>
    <xf numFmtId="0" fontId="1" fillId="0" borderId="0" xfId="0" applyFont="1" applyFill="1" applyAlignment="1">
      <alignment vertical="center"/>
    </xf>
    <xf numFmtId="0" fontId="0" fillId="0" borderId="0" xfId="0" applyFont="1" applyFill="1" applyAlignment="1">
      <alignment vertical="center"/>
    </xf>
    <xf numFmtId="43" fontId="0" fillId="0" borderId="0" xfId="8" applyFill="1" applyAlignment="1">
      <alignment vertical="center"/>
    </xf>
    <xf numFmtId="0" fontId="3" fillId="0" borderId="0" xfId="0" applyFont="1" applyFill="1" applyAlignment="1">
      <alignment horizontal="center" vertical="center"/>
    </xf>
    <xf numFmtId="0" fontId="1" fillId="0" borderId="3"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43" fontId="1" fillId="0" borderId="1" xfId="8"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0" fillId="0" borderId="9" xfId="0" applyFont="1" applyFill="1" applyBorder="1" applyAlignment="1">
      <alignment vertical="center"/>
    </xf>
    <xf numFmtId="43" fontId="4" fillId="0" borderId="7" xfId="8"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11" fillId="0" borderId="1" xfId="0" applyFont="1" applyFill="1" applyBorder="1" applyAlignment="1">
      <alignment horizontal="center" vertical="center"/>
    </xf>
    <xf numFmtId="177" fontId="12" fillId="0" borderId="1" xfId="0" applyNumberFormat="1" applyFont="1" applyFill="1" applyBorder="1" applyAlignment="1">
      <alignment horizontal="right" vertical="center" shrinkToFit="1"/>
    </xf>
    <xf numFmtId="10" fontId="13" fillId="0" borderId="0" xfId="0" applyNumberFormat="1" applyFont="1" applyFill="1">
      <alignment vertical="center"/>
    </xf>
    <xf numFmtId="43" fontId="4" fillId="0" borderId="1" xfId="8" applyFont="1" applyFill="1" applyBorder="1" applyAlignment="1">
      <alignment horizontal="center" vertical="center" wrapText="1"/>
    </xf>
    <xf numFmtId="10" fontId="14" fillId="0" borderId="1" xfId="11" applyNumberFormat="1" applyFont="1" applyFill="1" applyBorder="1" applyAlignment="1">
      <alignment vertical="center" shrinkToFit="1"/>
    </xf>
    <xf numFmtId="10" fontId="0" fillId="0" borderId="0" xfId="0" applyNumberFormat="1" applyFill="1" applyAlignment="1">
      <alignment vertical="center"/>
    </xf>
    <xf numFmtId="10" fontId="0" fillId="0" borderId="0" xfId="11" applyNumberFormat="1" applyFont="1" applyFill="1" applyAlignment="1">
      <alignment vertical="center"/>
    </xf>
    <xf numFmtId="177" fontId="8" fillId="0" borderId="1" xfId="0" applyNumberFormat="1" applyFont="1" applyFill="1" applyBorder="1" applyAlignment="1">
      <alignment horizontal="center" vertical="center" wrapText="1"/>
    </xf>
    <xf numFmtId="177" fontId="15" fillId="0" borderId="3" xfId="0" applyNumberFormat="1" applyFont="1" applyFill="1" applyBorder="1" applyAlignment="1">
      <alignment horizontal="center" vertical="center" wrapText="1"/>
    </xf>
    <xf numFmtId="177" fontId="8" fillId="0" borderId="4" xfId="0" applyNumberFormat="1" applyFont="1" applyFill="1" applyBorder="1" applyAlignment="1">
      <alignment horizontal="center" vertical="center" wrapText="1"/>
    </xf>
    <xf numFmtId="177" fontId="15" fillId="0" borderId="4" xfId="0" applyNumberFormat="1" applyFont="1" applyFill="1" applyBorder="1" applyAlignment="1">
      <alignment horizontal="center" vertical="center" wrapText="1"/>
    </xf>
    <xf numFmtId="43" fontId="8" fillId="0" borderId="1" xfId="8" applyFont="1" applyFill="1" applyBorder="1" applyAlignment="1">
      <alignment horizontal="right" vertical="center" wrapText="1"/>
    </xf>
    <xf numFmtId="177" fontId="8" fillId="0" borderId="7" xfId="0" applyNumberFormat="1" applyFont="1" applyFill="1" applyBorder="1" applyAlignment="1">
      <alignment horizontal="center" vertical="center" wrapText="1"/>
    </xf>
    <xf numFmtId="177" fontId="15" fillId="0" borderId="1" xfId="0" applyNumberFormat="1" applyFont="1" applyFill="1" applyBorder="1" applyAlignment="1">
      <alignment vertical="center" wrapText="1"/>
    </xf>
    <xf numFmtId="177" fontId="15" fillId="0" borderId="1" xfId="0" applyNumberFormat="1" applyFont="1" applyFill="1" applyBorder="1" applyAlignment="1">
      <alignment horizontal="left" vertical="center" wrapText="1"/>
    </xf>
    <xf numFmtId="177" fontId="15" fillId="0" borderId="1" xfId="0" applyNumberFormat="1" applyFont="1" applyFill="1" applyBorder="1" applyAlignment="1">
      <alignment horizontal="center" vertical="center" wrapText="1"/>
    </xf>
    <xf numFmtId="0" fontId="1" fillId="0" borderId="0" xfId="0" applyFont="1" applyAlignment="1">
      <alignment vertical="center" wrapText="1"/>
    </xf>
    <xf numFmtId="0" fontId="1" fillId="0" borderId="6" xfId="0" applyFont="1" applyBorder="1" applyAlignment="1">
      <alignment horizontal="center" vertical="center" wrapText="1"/>
    </xf>
    <xf numFmtId="0" fontId="0" fillId="0" borderId="1" xfId="0" applyBorder="1" applyAlignment="1">
      <alignment horizontal="center" vertical="center"/>
    </xf>
    <xf numFmtId="177" fontId="10" fillId="2" borderId="1" xfId="0" applyNumberFormat="1" applyFont="1" applyFill="1" applyBorder="1" applyAlignment="1">
      <alignment horizontal="right" vertical="center" wrapText="1"/>
    </xf>
    <xf numFmtId="10" fontId="10" fillId="2" borderId="1" xfId="11" applyNumberFormat="1" applyFont="1" applyFill="1" applyBorder="1" applyAlignment="1">
      <alignment horizontal="right" vertical="center" wrapText="1"/>
    </xf>
    <xf numFmtId="10" fontId="16" fillId="0" borderId="1" xfId="11" applyNumberFormat="1" applyFont="1" applyBorder="1" applyAlignment="1">
      <alignment horizontal="right" vertical="center" wrapText="1"/>
    </xf>
    <xf numFmtId="0" fontId="2" fillId="0" borderId="1" xfId="0" applyFont="1" applyFill="1" applyBorder="1" applyAlignment="1">
      <alignment horizontal="center" vertical="center"/>
    </xf>
    <xf numFmtId="177" fontId="15" fillId="0" borderId="1" xfId="0" applyNumberFormat="1" applyFont="1" applyFill="1" applyBorder="1" applyAlignment="1">
      <alignment horizontal="right" vertical="center" wrapText="1"/>
    </xf>
    <xf numFmtId="176" fontId="1" fillId="0" borderId="0" xfId="8" applyNumberFormat="1" applyFont="1" applyAlignment="1">
      <alignment vertical="center" wrapText="1"/>
    </xf>
    <xf numFmtId="10" fontId="14" fillId="0" borderId="1" xfId="11" applyNumberFormat="1" applyFont="1" applyFill="1" applyBorder="1" applyAlignment="1">
      <alignment horizontal="center" vertical="center" shrinkToFit="1"/>
    </xf>
    <xf numFmtId="177" fontId="12" fillId="0" borderId="3" xfId="0" applyNumberFormat="1" applyFont="1" applyFill="1" applyBorder="1" applyAlignment="1">
      <alignment horizontal="center" vertical="center" shrinkToFit="1"/>
    </xf>
    <xf numFmtId="177" fontId="12" fillId="0" borderId="4" xfId="0" applyNumberFormat="1" applyFont="1" applyFill="1" applyBorder="1" applyAlignment="1">
      <alignment horizontal="center" vertical="center" shrinkToFit="1"/>
    </xf>
    <xf numFmtId="177" fontId="12" fillId="0" borderId="1" xfId="0" applyNumberFormat="1" applyFont="1" applyFill="1" applyBorder="1" applyAlignment="1">
      <alignment horizontal="center" vertical="center" shrinkToFit="1"/>
    </xf>
    <xf numFmtId="177" fontId="12" fillId="0" borderId="7" xfId="0" applyNumberFormat="1" applyFont="1" applyFill="1" applyBorder="1" applyAlignment="1">
      <alignment horizontal="center" vertical="center" shrinkToFit="1"/>
    </xf>
    <xf numFmtId="0" fontId="17" fillId="0" borderId="0" xfId="0" applyFont="1" applyFill="1" applyAlignment="1">
      <alignment vertical="center"/>
    </xf>
    <xf numFmtId="0" fontId="11" fillId="0" borderId="0" xfId="0" applyFont="1" applyFill="1" applyAlignment="1">
      <alignment vertical="center"/>
    </xf>
    <xf numFmtId="0" fontId="18" fillId="0" borderId="0" xfId="0" applyFont="1" applyFill="1" applyAlignment="1">
      <alignment vertical="center"/>
    </xf>
    <xf numFmtId="0" fontId="19" fillId="0" borderId="1" xfId="0" applyFont="1" applyFill="1" applyBorder="1" applyAlignment="1">
      <alignment horizontal="center" vertical="center" wrapText="1"/>
    </xf>
    <xf numFmtId="0" fontId="17" fillId="0" borderId="3"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9" xfId="0" applyFont="1" applyFill="1" applyBorder="1" applyAlignment="1">
      <alignment horizontal="center" vertical="center"/>
    </xf>
    <xf numFmtId="43" fontId="17" fillId="0" borderId="1" xfId="8" applyFont="1" applyFill="1" applyBorder="1" applyAlignment="1">
      <alignment horizontal="center" vertical="center" wrapText="1"/>
    </xf>
    <xf numFmtId="0" fontId="17" fillId="0" borderId="1"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1" fillId="0" borderId="9" xfId="0" applyFont="1" applyFill="1" applyBorder="1" applyAlignment="1">
      <alignment vertical="center"/>
    </xf>
    <xf numFmtId="43" fontId="19" fillId="0" borderId="7" xfId="8"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8" fillId="0" borderId="1" xfId="0" applyFont="1" applyFill="1" applyBorder="1" applyAlignment="1">
      <alignment vertical="center"/>
    </xf>
    <xf numFmtId="0" fontId="18" fillId="0" borderId="1" xfId="0" applyFont="1" applyFill="1" applyBorder="1" applyAlignment="1">
      <alignment horizontal="center" vertical="center"/>
    </xf>
    <xf numFmtId="177" fontId="20" fillId="0" borderId="1" xfId="0" applyNumberFormat="1" applyFont="1" applyFill="1" applyBorder="1" applyAlignment="1">
      <alignment horizontal="right" vertical="center" shrinkToFit="1"/>
    </xf>
    <xf numFmtId="43" fontId="19" fillId="0" borderId="1" xfId="8" applyFont="1" applyFill="1" applyBorder="1" applyAlignment="1">
      <alignment horizontal="center" vertical="center" wrapText="1"/>
    </xf>
    <xf numFmtId="10" fontId="11" fillId="0" borderId="0" xfId="11" applyNumberFormat="1" applyFont="1" applyFill="1" applyAlignment="1">
      <alignment vertical="center"/>
    </xf>
    <xf numFmtId="10" fontId="21" fillId="0" borderId="1" xfId="11" applyNumberFormat="1" applyFont="1" applyFill="1" applyBorder="1" applyAlignment="1">
      <alignment vertical="center" shrinkToFit="1"/>
    </xf>
    <xf numFmtId="10" fontId="18" fillId="0" borderId="0" xfId="11" applyNumberFormat="1" applyFont="1" applyFill="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6"/>
  <sheetViews>
    <sheetView tabSelected="1" view="pageBreakPreview" zoomScaleNormal="100" zoomScaleSheetLayoutView="100" workbookViewId="0">
      <pane xSplit="2" ySplit="6" topLeftCell="C7" activePane="bottomRight" state="frozen"/>
      <selection/>
      <selection pane="topRight"/>
      <selection pane="bottomLeft"/>
      <selection pane="bottomRight" activeCell="P19" sqref="P19"/>
    </sheetView>
  </sheetViews>
  <sheetFormatPr defaultColWidth="9" defaultRowHeight="13.5"/>
  <cols>
    <col min="1" max="1" width="3.125" style="35" customWidth="1"/>
    <col min="2" max="5" width="9" style="35" customWidth="1"/>
    <col min="6" max="6" width="11.625" style="38" customWidth="1"/>
    <col min="7" max="10" width="9" style="35" customWidth="1"/>
    <col min="11" max="11" width="12.875" style="38" customWidth="1"/>
    <col min="12" max="15" width="9" style="35" customWidth="1"/>
    <col min="16" max="16" width="11.125" style="35"/>
    <col min="17" max="16384" width="9" style="35"/>
  </cols>
  <sheetData>
    <row r="1" customFormat="1" ht="25" customHeight="1" spans="1:1">
      <c r="A1" t="s">
        <v>0</v>
      </c>
    </row>
    <row r="2" s="35" customFormat="1" ht="30" customHeight="1" spans="1:15">
      <c r="A2" s="39" t="s">
        <v>1</v>
      </c>
      <c r="B2" s="39"/>
      <c r="C2" s="39"/>
      <c r="D2" s="39"/>
      <c r="E2" s="39"/>
      <c r="F2" s="39"/>
      <c r="G2" s="39"/>
      <c r="H2" s="39"/>
      <c r="I2" s="39"/>
      <c r="J2" s="39"/>
      <c r="K2" s="39"/>
      <c r="L2" s="39"/>
      <c r="M2" s="39"/>
      <c r="N2" s="39"/>
      <c r="O2" s="39"/>
    </row>
    <row r="3" s="35" customFormat="1" ht="18" customHeight="1" spans="6:11">
      <c r="F3" s="38"/>
      <c r="K3" s="38" t="s">
        <v>2</v>
      </c>
    </row>
    <row r="4" s="80" customFormat="1" ht="12" spans="1:15">
      <c r="A4" s="83" t="s">
        <v>3</v>
      </c>
      <c r="B4" s="83" t="s">
        <v>4</v>
      </c>
      <c r="C4" s="84" t="s">
        <v>5</v>
      </c>
      <c r="D4" s="85"/>
      <c r="E4" s="86"/>
      <c r="F4" s="87" t="s">
        <v>6</v>
      </c>
      <c r="G4" s="88"/>
      <c r="H4" s="88"/>
      <c r="I4" s="88"/>
      <c r="J4" s="88"/>
      <c r="K4" s="87"/>
      <c r="L4" s="88"/>
      <c r="M4" s="88"/>
      <c r="N4" s="88"/>
      <c r="O4" s="88"/>
    </row>
    <row r="5" s="81" customFormat="1" ht="12" spans="1:15">
      <c r="A5" s="83"/>
      <c r="B5" s="83"/>
      <c r="C5" s="89" t="s">
        <v>7</v>
      </c>
      <c r="D5" s="89" t="s">
        <v>8</v>
      </c>
      <c r="E5" s="90"/>
      <c r="F5" s="91" t="s">
        <v>9</v>
      </c>
      <c r="G5" s="83"/>
      <c r="H5" s="83"/>
      <c r="I5" s="83"/>
      <c r="J5" s="83"/>
      <c r="K5" s="96" t="s">
        <v>10</v>
      </c>
      <c r="L5" s="83"/>
      <c r="M5" s="83"/>
      <c r="N5" s="83"/>
      <c r="O5" s="83"/>
    </row>
    <row r="6" s="81" customFormat="1" ht="34" customHeight="1" spans="1:15">
      <c r="A6" s="83"/>
      <c r="B6" s="83"/>
      <c r="C6" s="92"/>
      <c r="D6" s="92"/>
      <c r="E6" s="83" t="s">
        <v>11</v>
      </c>
      <c r="F6" s="91" t="s">
        <v>12</v>
      </c>
      <c r="G6" s="83" t="s">
        <v>13</v>
      </c>
      <c r="H6" s="83" t="s">
        <v>14</v>
      </c>
      <c r="I6" s="83" t="s">
        <v>15</v>
      </c>
      <c r="J6" s="83" t="s">
        <v>16</v>
      </c>
      <c r="K6" s="96" t="s">
        <v>12</v>
      </c>
      <c r="L6" s="83" t="s">
        <v>13</v>
      </c>
      <c r="M6" s="83" t="s">
        <v>14</v>
      </c>
      <c r="N6" s="83" t="s">
        <v>15</v>
      </c>
      <c r="O6" s="83" t="s">
        <v>16</v>
      </c>
    </row>
    <row r="7" s="81" customFormat="1" ht="25" customHeight="1" spans="1:16">
      <c r="A7" s="50">
        <v>1</v>
      </c>
      <c r="B7" s="50" t="s">
        <v>17</v>
      </c>
      <c r="C7" s="51">
        <v>655642.621519</v>
      </c>
      <c r="D7" s="51">
        <v>540071.525571</v>
      </c>
      <c r="E7" s="51">
        <v>126565.792339</v>
      </c>
      <c r="F7" s="51">
        <v>150668</v>
      </c>
      <c r="G7" s="51">
        <v>33777.841704</v>
      </c>
      <c r="H7" s="51">
        <v>19200.891661</v>
      </c>
      <c r="I7" s="54">
        <v>0.224187230891762</v>
      </c>
      <c r="J7" s="54">
        <v>0.7591808911983</v>
      </c>
      <c r="K7" s="51">
        <v>30316</v>
      </c>
      <c r="L7" s="51">
        <v>9452.354059</v>
      </c>
      <c r="M7" s="51">
        <v>647.90941</v>
      </c>
      <c r="N7" s="54">
        <v>0.311794236013986</v>
      </c>
      <c r="O7" s="54">
        <v>13.5890056744198</v>
      </c>
      <c r="P7" s="97">
        <f t="shared" ref="P7:P12" si="0">1-D7/C7</f>
        <v>0.176271481070349</v>
      </c>
    </row>
    <row r="8" s="81" customFormat="1" ht="25" customHeight="1" spans="1:16">
      <c r="A8" s="50">
        <v>2</v>
      </c>
      <c r="B8" s="50" t="s">
        <v>18</v>
      </c>
      <c r="C8" s="51">
        <v>108148.45</v>
      </c>
      <c r="D8" s="51">
        <v>33452.36</v>
      </c>
      <c r="E8" s="51">
        <v>4803.92</v>
      </c>
      <c r="F8" s="51">
        <v>100000</v>
      </c>
      <c r="G8" s="51">
        <v>11879.56</v>
      </c>
      <c r="H8" s="51">
        <v>21123.56</v>
      </c>
      <c r="I8" s="54">
        <v>0.1187956</v>
      </c>
      <c r="J8" s="54">
        <v>-0.437615629183717</v>
      </c>
      <c r="K8" s="51">
        <v>4500</v>
      </c>
      <c r="L8" s="51">
        <v>1156.49</v>
      </c>
      <c r="M8" s="51">
        <v>2034.78</v>
      </c>
      <c r="N8" s="54">
        <v>0.256997777777778</v>
      </c>
      <c r="O8" s="54">
        <v>-0.431638801246326</v>
      </c>
      <c r="P8" s="97">
        <f t="shared" si="0"/>
        <v>0.690681096215433</v>
      </c>
    </row>
    <row r="9" s="81" customFormat="1" ht="25" customHeight="1" spans="1:16">
      <c r="A9" s="50">
        <v>3</v>
      </c>
      <c r="B9" s="50" t="s">
        <v>19</v>
      </c>
      <c r="C9" s="51">
        <v>42734.47</v>
      </c>
      <c r="D9" s="51">
        <v>33698.72</v>
      </c>
      <c r="E9" s="51">
        <v>1844.78</v>
      </c>
      <c r="F9" s="51">
        <v>31000</v>
      </c>
      <c r="G9" s="51">
        <v>7586.26</v>
      </c>
      <c r="H9" s="51">
        <v>6135</v>
      </c>
      <c r="I9" s="54">
        <v>0.244718064516129</v>
      </c>
      <c r="J9" s="54">
        <v>0.236554197229014</v>
      </c>
      <c r="K9" s="51">
        <v>200</v>
      </c>
      <c r="L9" s="51">
        <v>280.43</v>
      </c>
      <c r="M9" s="51">
        <v>268.41</v>
      </c>
      <c r="N9" s="54">
        <v>1.40215</v>
      </c>
      <c r="O9" s="54">
        <v>0.0447822361312916</v>
      </c>
      <c r="P9" s="97">
        <f t="shared" si="0"/>
        <v>0.21143938371062</v>
      </c>
    </row>
    <row r="10" s="81" customFormat="1" ht="25" customHeight="1" spans="1:16">
      <c r="A10" s="50">
        <v>4</v>
      </c>
      <c r="B10" s="50" t="s">
        <v>20</v>
      </c>
      <c r="C10" s="51">
        <v>16278.96</v>
      </c>
      <c r="D10" s="51">
        <v>13504.35</v>
      </c>
      <c r="E10" s="51">
        <v>1417.59</v>
      </c>
      <c r="F10" s="51">
        <v>26242.72</v>
      </c>
      <c r="G10" s="51">
        <v>8712.36</v>
      </c>
      <c r="H10" s="51">
        <v>6039.44</v>
      </c>
      <c r="I10" s="54">
        <v>0.331991500881006</v>
      </c>
      <c r="J10" s="54">
        <v>0.442577457512617</v>
      </c>
      <c r="K10" s="51">
        <v>1640.07</v>
      </c>
      <c r="L10" s="51">
        <v>848.96</v>
      </c>
      <c r="M10" s="51">
        <v>146</v>
      </c>
      <c r="N10" s="54">
        <v>0.517636442346973</v>
      </c>
      <c r="O10" s="54">
        <v>4.81479452054795</v>
      </c>
      <c r="P10" s="97">
        <f t="shared" si="0"/>
        <v>0.170441477833965</v>
      </c>
    </row>
    <row r="11" s="81" customFormat="1" ht="25" customHeight="1" spans="1:16">
      <c r="A11" s="50">
        <v>5</v>
      </c>
      <c r="B11" s="50" t="s">
        <v>21</v>
      </c>
      <c r="C11" s="51">
        <v>10460.04</v>
      </c>
      <c r="D11" s="51">
        <v>10440.62</v>
      </c>
      <c r="E11" s="51">
        <v>349.31</v>
      </c>
      <c r="F11" s="51">
        <v>471.97</v>
      </c>
      <c r="G11" s="51">
        <v>78.67</v>
      </c>
      <c r="H11" s="51">
        <v>72</v>
      </c>
      <c r="I11" s="54">
        <v>0.166684323156133</v>
      </c>
      <c r="J11" s="54">
        <v>0.0926388888888889</v>
      </c>
      <c r="K11" s="51">
        <v>398</v>
      </c>
      <c r="L11" s="51">
        <v>45.07</v>
      </c>
      <c r="M11" s="51">
        <v>64.92</v>
      </c>
      <c r="N11" s="54">
        <v>0.113241206030151</v>
      </c>
      <c r="O11" s="54">
        <v>-0.305760936537277</v>
      </c>
      <c r="P11" s="97">
        <f t="shared" si="0"/>
        <v>0.00185658945854894</v>
      </c>
    </row>
    <row r="12" s="81" customFormat="1" ht="25" customHeight="1" spans="1:16">
      <c r="A12" s="50">
        <v>6</v>
      </c>
      <c r="B12" s="50" t="s">
        <v>22</v>
      </c>
      <c r="C12" s="51">
        <v>98573.550143</v>
      </c>
      <c r="D12" s="51">
        <v>48000.922303</v>
      </c>
      <c r="E12" s="51">
        <v>0.830073</v>
      </c>
      <c r="F12" s="51">
        <v>2716.67</v>
      </c>
      <c r="G12" s="51">
        <v>0</v>
      </c>
      <c r="H12" s="51">
        <v>0</v>
      </c>
      <c r="I12" s="54">
        <v>0</v>
      </c>
      <c r="J12" s="54" t="e">
        <v>#DIV/0!</v>
      </c>
      <c r="K12" s="51">
        <v>10</v>
      </c>
      <c r="L12" s="51">
        <v>0</v>
      </c>
      <c r="M12" s="51">
        <v>1.175055</v>
      </c>
      <c r="N12" s="54">
        <v>0</v>
      </c>
      <c r="O12" s="54">
        <v>-1</v>
      </c>
      <c r="P12" s="97">
        <f t="shared" si="0"/>
        <v>0.513044602397242</v>
      </c>
    </row>
    <row r="13" s="82" customFormat="1" ht="25" customHeight="1" spans="1:16">
      <c r="A13" s="93"/>
      <c r="B13" s="94" t="s">
        <v>23</v>
      </c>
      <c r="C13" s="95">
        <f t="shared" ref="C13:H13" si="1">SUM(C8:C12)</f>
        <v>276195.470143</v>
      </c>
      <c r="D13" s="95">
        <f t="shared" si="1"/>
        <v>139096.972303</v>
      </c>
      <c r="E13" s="95">
        <f t="shared" si="1"/>
        <v>8416.430073</v>
      </c>
      <c r="F13" s="95">
        <f t="shared" si="1"/>
        <v>160431.36</v>
      </c>
      <c r="G13" s="95">
        <f t="shared" si="1"/>
        <v>28256.85</v>
      </c>
      <c r="H13" s="95">
        <f t="shared" si="1"/>
        <v>33370</v>
      </c>
      <c r="I13" s="98">
        <f>G13/F13</f>
        <v>0.176130464766988</v>
      </c>
      <c r="J13" s="98">
        <f>(G13-H13)/H13</f>
        <v>-0.153225951453401</v>
      </c>
      <c r="K13" s="95">
        <f>SUM(K8:K12)</f>
        <v>6748.07</v>
      </c>
      <c r="L13" s="95">
        <f>SUM(L8:L12)</f>
        <v>2330.95</v>
      </c>
      <c r="M13" s="95">
        <f>SUM(M8:M12)</f>
        <v>2515.285055</v>
      </c>
      <c r="N13" s="98">
        <f>L13/K13</f>
        <v>0.345424691800767</v>
      </c>
      <c r="O13" s="98">
        <f>(L13-M13)/M13</f>
        <v>-0.0732859500888658</v>
      </c>
      <c r="P13" s="99"/>
    </row>
    <row r="14" s="37" customFormat="1"/>
    <row r="16" spans="13:13">
      <c r="M16" s="55"/>
    </row>
  </sheetData>
  <mergeCells count="9">
    <mergeCell ref="A2:O2"/>
    <mergeCell ref="C4:E4"/>
    <mergeCell ref="F4:O4"/>
    <mergeCell ref="F5:J5"/>
    <mergeCell ref="K5:O5"/>
    <mergeCell ref="A4:A6"/>
    <mergeCell ref="B4:B6"/>
    <mergeCell ref="C5:C6"/>
    <mergeCell ref="D5:D6"/>
  </mergeCells>
  <printOptions horizontalCentered="1"/>
  <pageMargins left="0.393055555555556" right="0.393055555555556" top="1" bottom="1" header="0.511805555555556" footer="0.511805555555556"/>
  <pageSetup paperSize="9" orientation="landscape" blackAndWhite="1"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9"/>
  <sheetViews>
    <sheetView view="pageBreakPreview" zoomScaleNormal="100" zoomScaleSheetLayoutView="100" workbookViewId="0">
      <pane xSplit="2" ySplit="6" topLeftCell="C7" activePane="bottomRight" state="frozen"/>
      <selection/>
      <selection pane="topRight"/>
      <selection pane="bottomLeft"/>
      <selection pane="bottomRight" activeCell="A1" sqref="A1"/>
    </sheetView>
  </sheetViews>
  <sheetFormatPr defaultColWidth="9" defaultRowHeight="13.5"/>
  <cols>
    <col min="1" max="1" width="4" style="35" customWidth="1"/>
    <col min="2" max="2" width="15.25" style="35" customWidth="1"/>
    <col min="3" max="5" width="10.375" style="35" customWidth="1"/>
    <col min="6" max="6" width="10.75" style="38" customWidth="1"/>
    <col min="7" max="7" width="13.25" style="35" customWidth="1"/>
    <col min="8" max="8" width="10.75" style="35" customWidth="1"/>
    <col min="9" max="9" width="8.875" style="35" customWidth="1"/>
    <col min="10" max="10" width="10.25" style="35" customWidth="1"/>
    <col min="11" max="11" width="10.75" style="38" customWidth="1"/>
    <col min="12" max="13" width="10.75" style="35" customWidth="1"/>
    <col min="14" max="14" width="10.625" style="35" customWidth="1"/>
    <col min="15" max="15" width="12.375" style="35" customWidth="1"/>
    <col min="16" max="16" width="9" style="35" hidden="1" customWidth="1"/>
    <col min="17" max="17" width="12.625" style="35"/>
    <col min="18" max="16384" width="9" style="35"/>
  </cols>
  <sheetData>
    <row r="1" customFormat="1" ht="25" customHeight="1" spans="1:1">
      <c r="A1" t="s">
        <v>0</v>
      </c>
    </row>
    <row r="2" s="35" customFormat="1" ht="30" customHeight="1" spans="1:15">
      <c r="A2" s="39" t="s">
        <v>24</v>
      </c>
      <c r="B2" s="39"/>
      <c r="C2" s="39"/>
      <c r="D2" s="39"/>
      <c r="E2" s="39"/>
      <c r="F2" s="39"/>
      <c r="G2" s="39"/>
      <c r="H2" s="39"/>
      <c r="I2" s="39"/>
      <c r="J2" s="39"/>
      <c r="K2" s="39"/>
      <c r="L2" s="39"/>
      <c r="M2" s="39"/>
      <c r="N2" s="39"/>
      <c r="O2" s="39"/>
    </row>
    <row r="3" s="35" customFormat="1" spans="6:14">
      <c r="F3" s="38"/>
      <c r="N3" s="38" t="s">
        <v>2</v>
      </c>
    </row>
    <row r="4" s="36" customFormat="1" spans="1:15">
      <c r="A4" s="30" t="s">
        <v>3</v>
      </c>
      <c r="B4" s="30" t="s">
        <v>4</v>
      </c>
      <c r="C4" s="40" t="s">
        <v>5</v>
      </c>
      <c r="D4" s="41"/>
      <c r="E4" s="42"/>
      <c r="F4" s="43" t="s">
        <v>6</v>
      </c>
      <c r="G4" s="44"/>
      <c r="H4" s="44"/>
      <c r="I4" s="44"/>
      <c r="J4" s="44"/>
      <c r="K4" s="43"/>
      <c r="L4" s="44"/>
      <c r="M4" s="44"/>
      <c r="N4" s="44"/>
      <c r="O4" s="44"/>
    </row>
    <row r="5" s="37" customFormat="1" spans="1:15">
      <c r="A5" s="30"/>
      <c r="B5" s="30"/>
      <c r="C5" s="45" t="s">
        <v>7</v>
      </c>
      <c r="D5" s="45" t="s">
        <v>8</v>
      </c>
      <c r="E5" s="46"/>
      <c r="F5" s="47" t="s">
        <v>9</v>
      </c>
      <c r="G5" s="30"/>
      <c r="H5" s="30"/>
      <c r="I5" s="30"/>
      <c r="J5" s="30"/>
      <c r="K5" s="53" t="s">
        <v>10</v>
      </c>
      <c r="L5" s="30"/>
      <c r="M5" s="30"/>
      <c r="N5" s="30"/>
      <c r="O5" s="30"/>
    </row>
    <row r="6" s="37" customFormat="1" ht="39" customHeight="1" spans="1:16">
      <c r="A6" s="30"/>
      <c r="B6" s="30"/>
      <c r="C6" s="48"/>
      <c r="D6" s="48"/>
      <c r="E6" s="49" t="s">
        <v>11</v>
      </c>
      <c r="F6" s="47" t="s">
        <v>12</v>
      </c>
      <c r="G6" s="30" t="s">
        <v>13</v>
      </c>
      <c r="H6" s="30" t="s">
        <v>14</v>
      </c>
      <c r="I6" s="30" t="s">
        <v>15</v>
      </c>
      <c r="J6" s="30" t="s">
        <v>16</v>
      </c>
      <c r="K6" s="53" t="s">
        <v>12</v>
      </c>
      <c r="L6" s="30" t="s">
        <v>13</v>
      </c>
      <c r="M6" s="30" t="s">
        <v>14</v>
      </c>
      <c r="N6" s="30" t="s">
        <v>15</v>
      </c>
      <c r="O6" s="30" t="s">
        <v>16</v>
      </c>
      <c r="P6" s="37" t="s">
        <v>25</v>
      </c>
    </row>
    <row r="7" s="37" customFormat="1" ht="25" customHeight="1" spans="1:17">
      <c r="A7" s="50">
        <v>1</v>
      </c>
      <c r="B7" s="50" t="s">
        <v>26</v>
      </c>
      <c r="C7" s="51">
        <v>19179.55</v>
      </c>
      <c r="D7" s="51">
        <v>16436.06</v>
      </c>
      <c r="E7" s="51">
        <v>241.42</v>
      </c>
      <c r="F7" s="51">
        <v>16539.83</v>
      </c>
      <c r="G7" s="51">
        <v>1809.06</v>
      </c>
      <c r="H7" s="51">
        <v>1636.79</v>
      </c>
      <c r="I7" s="54">
        <v>0.109375973029953</v>
      </c>
      <c r="J7" s="54">
        <v>0.105248687980743</v>
      </c>
      <c r="K7" s="51">
        <v>500.52</v>
      </c>
      <c r="L7" s="51">
        <v>217.22</v>
      </c>
      <c r="M7" s="51">
        <v>1.49</v>
      </c>
      <c r="N7" s="54">
        <v>0.433988651802126</v>
      </c>
      <c r="O7" s="54">
        <v>144.785234899329</v>
      </c>
      <c r="Q7" s="56">
        <f>1-D7/C7</f>
        <v>0.143042459286062</v>
      </c>
    </row>
    <row r="8" s="37" customFormat="1" ht="25" customHeight="1" spans="1:17">
      <c r="A8" s="50">
        <v>2</v>
      </c>
      <c r="B8" s="50" t="s">
        <v>27</v>
      </c>
      <c r="C8" s="51">
        <v>11401.71</v>
      </c>
      <c r="D8" s="51">
        <v>10048.54</v>
      </c>
      <c r="E8" s="51">
        <v>48.54</v>
      </c>
      <c r="F8" s="51">
        <v>17159.86</v>
      </c>
      <c r="G8" s="51">
        <v>2919.95</v>
      </c>
      <c r="H8" s="51">
        <v>23.99</v>
      </c>
      <c r="I8" s="54">
        <v>0.170161644675423</v>
      </c>
      <c r="J8" s="54">
        <v>120.71529804085</v>
      </c>
      <c r="K8" s="51">
        <v>-1076.93</v>
      </c>
      <c r="L8" s="51">
        <v>127.39</v>
      </c>
      <c r="M8" s="51">
        <v>-85.73</v>
      </c>
      <c r="N8" s="54">
        <v>2.1182899538503</v>
      </c>
      <c r="O8" s="54">
        <v>4.48594424355535</v>
      </c>
      <c r="P8" s="37" t="s">
        <v>28</v>
      </c>
      <c r="Q8" s="56">
        <f t="shared" ref="Q8:Q18" si="0">1-D8/C8</f>
        <v>0.118681320608926</v>
      </c>
    </row>
    <row r="9" s="37" customFormat="1" ht="25" customHeight="1" spans="1:17">
      <c r="A9" s="50">
        <v>3</v>
      </c>
      <c r="B9" s="50" t="s">
        <v>29</v>
      </c>
      <c r="C9" s="51">
        <v>7609.15</v>
      </c>
      <c r="D9" s="51">
        <v>6110</v>
      </c>
      <c r="E9" s="51">
        <v>80</v>
      </c>
      <c r="F9" s="51">
        <v>11336</v>
      </c>
      <c r="G9" s="51">
        <v>2160</v>
      </c>
      <c r="H9" s="51">
        <v>27</v>
      </c>
      <c r="I9" s="54">
        <v>0.190543401552576</v>
      </c>
      <c r="J9" s="54">
        <v>79</v>
      </c>
      <c r="K9" s="51">
        <v>135.71</v>
      </c>
      <c r="L9" s="51">
        <v>48.1</v>
      </c>
      <c r="M9" s="51">
        <v>19.22</v>
      </c>
      <c r="N9" s="54">
        <v>0.354432245228797</v>
      </c>
      <c r="O9" s="54">
        <v>1.50260145681582</v>
      </c>
      <c r="Q9" s="56">
        <f t="shared" si="0"/>
        <v>0.197019377985715</v>
      </c>
    </row>
    <row r="10" s="37" customFormat="1" ht="25" customHeight="1" spans="1:17">
      <c r="A10" s="50">
        <v>4</v>
      </c>
      <c r="B10" s="50" t="s">
        <v>30</v>
      </c>
      <c r="C10" s="51">
        <v>17626.1621772758</v>
      </c>
      <c r="D10" s="51">
        <v>17311.3619628819</v>
      </c>
      <c r="E10" s="51">
        <v>1008.42693888193</v>
      </c>
      <c r="F10" s="51">
        <v>38861.375</v>
      </c>
      <c r="G10" s="51">
        <v>1382.63986876675</v>
      </c>
      <c r="H10" s="75" t="s">
        <v>31</v>
      </c>
      <c r="I10" s="54">
        <f>G10/F10</f>
        <v>0.0355787686042182</v>
      </c>
      <c r="J10" s="75" t="s">
        <v>31</v>
      </c>
      <c r="K10" s="51">
        <v>143.941666666666</v>
      </c>
      <c r="L10" s="51">
        <v>90</v>
      </c>
      <c r="M10" s="78" t="s">
        <v>31</v>
      </c>
      <c r="N10" s="75" t="s">
        <v>31</v>
      </c>
      <c r="O10" s="75" t="s">
        <v>31</v>
      </c>
      <c r="Q10" s="56">
        <f t="shared" si="0"/>
        <v>0.017859827410402</v>
      </c>
    </row>
    <row r="11" s="37" customFormat="1" ht="25" customHeight="1" spans="1:17">
      <c r="A11" s="50">
        <v>5</v>
      </c>
      <c r="B11" s="50" t="s">
        <v>32</v>
      </c>
      <c r="C11" s="51">
        <v>389031.52</v>
      </c>
      <c r="D11" s="51">
        <v>76022</v>
      </c>
      <c r="E11" s="76" t="s">
        <v>33</v>
      </c>
      <c r="F11" s="77"/>
      <c r="G11" s="77"/>
      <c r="H11" s="77"/>
      <c r="I11" s="77"/>
      <c r="J11" s="77"/>
      <c r="K11" s="77"/>
      <c r="L11" s="77"/>
      <c r="M11" s="77"/>
      <c r="N11" s="77"/>
      <c r="O11" s="79"/>
      <c r="Q11" s="56">
        <f t="shared" si="0"/>
        <v>0.804586528104458</v>
      </c>
    </row>
    <row r="12" s="37" customFormat="1" ht="25" customHeight="1" spans="1:17">
      <c r="A12" s="50">
        <v>6</v>
      </c>
      <c r="B12" s="50" t="s">
        <v>34</v>
      </c>
      <c r="C12" s="51">
        <v>286617.320777</v>
      </c>
      <c r="D12" s="51">
        <v>110573.415785</v>
      </c>
      <c r="E12" s="51">
        <v>18087.032154</v>
      </c>
      <c r="F12" s="51">
        <v>118314.5</v>
      </c>
      <c r="G12" s="51">
        <v>29696.006256</v>
      </c>
      <c r="H12" s="51">
        <v>32828.87856</v>
      </c>
      <c r="I12" s="54">
        <v>0.2509921121756</v>
      </c>
      <c r="J12" s="54">
        <v>-0.09543037841741</v>
      </c>
      <c r="K12" s="51">
        <v>16942.96</v>
      </c>
      <c r="L12" s="51">
        <v>4605.89165</v>
      </c>
      <c r="M12" s="51">
        <v>4990.598121</v>
      </c>
      <c r="N12" s="54">
        <v>0.271846929344105</v>
      </c>
      <c r="O12" s="54">
        <v>-0.0770862453101942</v>
      </c>
      <c r="Q12" s="56">
        <f t="shared" si="0"/>
        <v>0.61421237388849</v>
      </c>
    </row>
    <row r="13" s="37" customFormat="1" ht="25" customHeight="1" spans="1:17">
      <c r="A13" s="50">
        <v>7</v>
      </c>
      <c r="B13" s="50" t="s">
        <v>35</v>
      </c>
      <c r="C13" s="51">
        <v>3750.55</v>
      </c>
      <c r="D13" s="51">
        <v>2969.53</v>
      </c>
      <c r="E13" s="51">
        <v>657.77</v>
      </c>
      <c r="F13" s="51">
        <v>7228.51</v>
      </c>
      <c r="G13" s="51">
        <v>1252.78</v>
      </c>
      <c r="H13" s="51">
        <v>1268.57</v>
      </c>
      <c r="I13" s="54">
        <v>0.173310958966647</v>
      </c>
      <c r="J13" s="54">
        <v>-0.0124470860890609</v>
      </c>
      <c r="K13" s="51">
        <v>254.22</v>
      </c>
      <c r="L13" s="51">
        <v>44.32</v>
      </c>
      <c r="M13" s="51">
        <v>23.99</v>
      </c>
      <c r="N13" s="54">
        <v>0.174337188262135</v>
      </c>
      <c r="O13" s="54">
        <v>0.847436431846603</v>
      </c>
      <c r="Q13" s="56">
        <f t="shared" si="0"/>
        <v>0.208241457919505</v>
      </c>
    </row>
    <row r="14" s="37" customFormat="1" ht="25" customHeight="1" spans="1:17">
      <c r="A14" s="50">
        <v>8</v>
      </c>
      <c r="B14" s="50" t="s">
        <v>36</v>
      </c>
      <c r="C14" s="51">
        <v>16680</v>
      </c>
      <c r="D14" s="51">
        <v>11959</v>
      </c>
      <c r="E14" s="51">
        <v>3223</v>
      </c>
      <c r="F14" s="51">
        <v>23617</v>
      </c>
      <c r="G14" s="51">
        <v>4759</v>
      </c>
      <c r="H14" s="51">
        <v>4467</v>
      </c>
      <c r="I14" s="54">
        <v>0.201507388745395</v>
      </c>
      <c r="J14" s="54">
        <v>0.065368256100291</v>
      </c>
      <c r="K14" s="51">
        <v>22700</v>
      </c>
      <c r="L14" s="51">
        <v>501</v>
      </c>
      <c r="M14" s="51">
        <v>477</v>
      </c>
      <c r="N14" s="54">
        <v>0.0220704845814978</v>
      </c>
      <c r="O14" s="54">
        <v>0.050314465408805</v>
      </c>
      <c r="Q14" s="56">
        <f t="shared" si="0"/>
        <v>0.283033573141487</v>
      </c>
    </row>
    <row r="15" s="37" customFormat="1" ht="25" customHeight="1" spans="1:17">
      <c r="A15" s="50"/>
      <c r="B15" s="50" t="s">
        <v>23</v>
      </c>
      <c r="C15" s="51">
        <f t="shared" ref="C15:H15" si="1">SUM(C7:C14)</f>
        <v>751895.962954276</v>
      </c>
      <c r="D15" s="51">
        <f t="shared" si="1"/>
        <v>251429.907747882</v>
      </c>
      <c r="E15" s="51">
        <f t="shared" si="1"/>
        <v>23346.1890928819</v>
      </c>
      <c r="F15" s="51">
        <f t="shared" si="1"/>
        <v>233057.075</v>
      </c>
      <c r="G15" s="51">
        <f t="shared" si="1"/>
        <v>43979.4361247667</v>
      </c>
      <c r="H15" s="51">
        <f t="shared" si="1"/>
        <v>40252.22856</v>
      </c>
      <c r="I15" s="54">
        <f>G15/F15</f>
        <v>0.188706719694164</v>
      </c>
      <c r="J15" s="54">
        <f>(G15-H15)/H15</f>
        <v>0.0925963033130196</v>
      </c>
      <c r="K15" s="51">
        <f>SUM(K7:K14)</f>
        <v>39600.4216666667</v>
      </c>
      <c r="L15" s="51">
        <f>SUM(L7:L14)</f>
        <v>5633.92165</v>
      </c>
      <c r="M15" s="51">
        <f>SUM(M7:M14)</f>
        <v>5426.568121</v>
      </c>
      <c r="N15" s="54">
        <f>L15/K15</f>
        <v>0.142269233833495</v>
      </c>
      <c r="O15" s="54">
        <f>(L15-M15)/M15</f>
        <v>0.0382108036564718</v>
      </c>
      <c r="Q15" s="56">
        <f t="shared" si="0"/>
        <v>0.665605455893142</v>
      </c>
    </row>
    <row r="16" s="37" customFormat="1"/>
    <row r="18" ht="20.25" spans="7:7">
      <c r="G18" s="52"/>
    </row>
    <row r="19" spans="13:13">
      <c r="M19" s="55"/>
    </row>
  </sheetData>
  <mergeCells count="10">
    <mergeCell ref="A2:O2"/>
    <mergeCell ref="C4:E4"/>
    <mergeCell ref="F4:O4"/>
    <mergeCell ref="F5:J5"/>
    <mergeCell ref="K5:O5"/>
    <mergeCell ref="E11:O11"/>
    <mergeCell ref="A4:A6"/>
    <mergeCell ref="B4:B6"/>
    <mergeCell ref="C5:C6"/>
    <mergeCell ref="D5:D6"/>
  </mergeCells>
  <printOptions horizontalCentered="1"/>
  <pageMargins left="0.751388888888889" right="0.751388888888889" top="1" bottom="1" header="0.511805555555556" footer="0.511805555555556"/>
  <pageSetup paperSize="9" scale="83" orientation="landscape" blackAndWhite="1"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C13"/>
  <sheetViews>
    <sheetView view="pageBreakPreview" zoomScaleNormal="100" zoomScaleSheetLayoutView="100" workbookViewId="0">
      <pane xSplit="2" ySplit="6" topLeftCell="C7" activePane="bottomRight" state="frozen"/>
      <selection/>
      <selection pane="topRight"/>
      <selection pane="bottomLeft"/>
      <selection pane="bottomRight" activeCell="I22" sqref="I22"/>
    </sheetView>
  </sheetViews>
  <sheetFormatPr defaultColWidth="9" defaultRowHeight="13.5"/>
  <cols>
    <col min="1" max="1" width="3.125" customWidth="1"/>
    <col min="2" max="2" width="9.625" customWidth="1"/>
    <col min="3" max="3" width="10.875" customWidth="1"/>
    <col min="4" max="4" width="9.25" customWidth="1"/>
    <col min="5" max="5" width="7.25" customWidth="1"/>
    <col min="6" max="6" width="9.375" customWidth="1"/>
    <col min="7" max="7" width="8" customWidth="1"/>
    <col min="8" max="8" width="8.75" customWidth="1"/>
    <col min="9" max="9" width="7.875" customWidth="1"/>
    <col min="10" max="10" width="8.125" customWidth="1"/>
    <col min="12" max="12" width="8.875" customWidth="1"/>
    <col min="13" max="13" width="8.25" customWidth="1"/>
    <col min="14" max="14" width="9.125" customWidth="1"/>
    <col min="15" max="15" width="7.625" customWidth="1"/>
    <col min="16" max="16" width="9.5" customWidth="1"/>
    <col min="17" max="17" width="10.5" customWidth="1"/>
    <col min="18" max="18" width="9" customWidth="1"/>
    <col min="19" max="19" width="7.25" customWidth="1"/>
    <col min="20" max="21" width="7.375" customWidth="1"/>
    <col min="22" max="22" width="9.125" customWidth="1"/>
    <col min="23" max="23" width="8.75" customWidth="1"/>
    <col min="26" max="26" width="10.375" hidden="1" customWidth="1"/>
    <col min="27" max="29" width="9" hidden="1" customWidth="1"/>
  </cols>
  <sheetData>
    <row r="1" ht="25" customHeight="1" spans="1:1">
      <c r="A1" t="s">
        <v>0</v>
      </c>
    </row>
    <row r="2" ht="36" customHeight="1" spans="1:25">
      <c r="A2" s="4" t="s">
        <v>37</v>
      </c>
      <c r="B2" s="4"/>
      <c r="C2" s="4"/>
      <c r="D2" s="4"/>
      <c r="E2" s="4"/>
      <c r="F2" s="4"/>
      <c r="G2" s="4"/>
      <c r="H2" s="4"/>
      <c r="I2" s="4"/>
      <c r="J2" s="4"/>
      <c r="K2" s="4"/>
      <c r="L2" s="4"/>
      <c r="M2" s="4"/>
      <c r="N2" s="4"/>
      <c r="O2" s="4"/>
      <c r="P2" s="4"/>
      <c r="Q2" s="4"/>
      <c r="R2" s="4"/>
      <c r="S2" s="4"/>
      <c r="T2" s="4"/>
      <c r="U2" s="4"/>
      <c r="V2" s="4"/>
      <c r="W2" s="4"/>
      <c r="X2" s="4"/>
      <c r="Y2" s="4"/>
    </row>
    <row r="3" ht="16" customHeight="1" spans="17:17">
      <c r="Q3" t="s">
        <v>2</v>
      </c>
    </row>
    <row r="4" s="1" customFormat="1" ht="20" customHeight="1" spans="1:28">
      <c r="A4" s="14" t="s">
        <v>3</v>
      </c>
      <c r="B4" s="6" t="s">
        <v>4</v>
      </c>
      <c r="C4" s="5" t="s">
        <v>38</v>
      </c>
      <c r="D4" s="5" t="s">
        <v>39</v>
      </c>
      <c r="E4" s="7" t="s">
        <v>40</v>
      </c>
      <c r="F4" s="8" t="s">
        <v>41</v>
      </c>
      <c r="G4" s="9"/>
      <c r="H4" s="9"/>
      <c r="I4" s="9"/>
      <c r="J4" s="9"/>
      <c r="K4" s="9"/>
      <c r="L4" s="9"/>
      <c r="M4" s="9"/>
      <c r="N4" s="9"/>
      <c r="O4" s="9"/>
      <c r="P4" s="9"/>
      <c r="Q4" s="28"/>
      <c r="R4" s="30" t="s">
        <v>42</v>
      </c>
      <c r="S4" s="30"/>
      <c r="T4" s="30"/>
      <c r="U4" s="30"/>
      <c r="V4" s="30"/>
      <c r="W4" s="30"/>
      <c r="X4" s="30"/>
      <c r="Y4" s="30"/>
      <c r="AB4" s="31"/>
    </row>
    <row r="5" s="1" customFormat="1" ht="20" customHeight="1" spans="1:28">
      <c r="A5" s="14"/>
      <c r="B5" s="10"/>
      <c r="C5" s="5"/>
      <c r="D5" s="5"/>
      <c r="E5" s="11"/>
      <c r="F5" s="8" t="s">
        <v>43</v>
      </c>
      <c r="G5" s="9"/>
      <c r="H5" s="9"/>
      <c r="I5" s="28"/>
      <c r="J5" s="8" t="s">
        <v>44</v>
      </c>
      <c r="K5" s="9"/>
      <c r="L5" s="9"/>
      <c r="M5" s="28"/>
      <c r="N5" s="8" t="s">
        <v>45</v>
      </c>
      <c r="O5" s="9"/>
      <c r="P5" s="9"/>
      <c r="Q5" s="28"/>
      <c r="R5" s="30" t="s">
        <v>46</v>
      </c>
      <c r="S5" s="30"/>
      <c r="T5" s="30"/>
      <c r="U5" s="30"/>
      <c r="V5" s="30"/>
      <c r="W5" s="30"/>
      <c r="X5" s="30" t="s">
        <v>47</v>
      </c>
      <c r="Y5" s="30" t="s">
        <v>48</v>
      </c>
      <c r="AB5" s="31"/>
    </row>
    <row r="6" s="66" customFormat="1" ht="33" customHeight="1" spans="1:28">
      <c r="A6" s="14"/>
      <c r="B6" s="12"/>
      <c r="C6" s="14"/>
      <c r="D6" s="14"/>
      <c r="E6" s="67"/>
      <c r="F6" s="14" t="s">
        <v>49</v>
      </c>
      <c r="G6" s="14" t="s">
        <v>10</v>
      </c>
      <c r="H6" s="14" t="s">
        <v>50</v>
      </c>
      <c r="I6" s="14" t="s">
        <v>51</v>
      </c>
      <c r="J6" s="14" t="s">
        <v>49</v>
      </c>
      <c r="K6" s="14" t="s">
        <v>10</v>
      </c>
      <c r="L6" s="14" t="s">
        <v>50</v>
      </c>
      <c r="M6" s="14" t="s">
        <v>51</v>
      </c>
      <c r="N6" s="14" t="s">
        <v>49</v>
      </c>
      <c r="O6" s="14" t="s">
        <v>10</v>
      </c>
      <c r="P6" s="14" t="s">
        <v>50</v>
      </c>
      <c r="Q6" s="14" t="s">
        <v>51</v>
      </c>
      <c r="R6" s="30" t="s">
        <v>52</v>
      </c>
      <c r="S6" s="30" t="s">
        <v>43</v>
      </c>
      <c r="T6" s="30" t="s">
        <v>44</v>
      </c>
      <c r="U6" s="30" t="s">
        <v>45</v>
      </c>
      <c r="V6" s="30" t="s">
        <v>53</v>
      </c>
      <c r="W6" s="30" t="s">
        <v>54</v>
      </c>
      <c r="X6" s="30"/>
      <c r="Y6" s="30"/>
      <c r="AB6" s="74"/>
    </row>
    <row r="7" customFormat="1" ht="25" customHeight="1" spans="1:29">
      <c r="A7" s="15">
        <v>1</v>
      </c>
      <c r="B7" s="15" t="s">
        <v>17</v>
      </c>
      <c r="C7" s="17">
        <v>36739</v>
      </c>
      <c r="D7" s="18">
        <v>140528.64</v>
      </c>
      <c r="E7" s="20">
        <v>0.64</v>
      </c>
      <c r="F7" s="18">
        <f>1918171849.77/10000</f>
        <v>191817.184977</v>
      </c>
      <c r="G7" s="18">
        <f>832721911.47/10000</f>
        <v>83272.191147</v>
      </c>
      <c r="H7" s="20">
        <f>G7/F7</f>
        <v>0.434122683830361</v>
      </c>
      <c r="I7" s="71">
        <v>0.116115755410173</v>
      </c>
      <c r="J7" s="18">
        <f>1369606218.88/10000</f>
        <v>136960.621888</v>
      </c>
      <c r="K7" s="18">
        <f>439008665.47/10000</f>
        <v>43900.866547</v>
      </c>
      <c r="L7" s="20">
        <f>K7/J7</f>
        <v>0.320536413618946</v>
      </c>
      <c r="M7" s="71">
        <v>0.0587156023848056</v>
      </c>
      <c r="N7" s="18">
        <f>1186781085.34/10000</f>
        <v>118678.108534</v>
      </c>
      <c r="O7" s="18">
        <f>237110057.9/10000</f>
        <v>23711.00579</v>
      </c>
      <c r="P7" s="20">
        <f>O7/N7</f>
        <v>0.19979258249812</v>
      </c>
      <c r="Q7" s="71">
        <v>0.0323617359108921</v>
      </c>
      <c r="R7" s="18">
        <v>38002.79375552</v>
      </c>
      <c r="S7" s="18">
        <v>17255.92400384</v>
      </c>
      <c r="T7" s="18">
        <v>19658.29428032</v>
      </c>
      <c r="U7" s="18">
        <v>19334.08037568</v>
      </c>
      <c r="V7" s="18">
        <v>414406</v>
      </c>
      <c r="W7" s="18">
        <v>414406</v>
      </c>
      <c r="X7" s="20">
        <v>2.9489</v>
      </c>
      <c r="Y7" s="20">
        <v>0.1404</v>
      </c>
      <c r="Z7" s="32"/>
      <c r="AB7" s="3"/>
      <c r="AC7" s="3"/>
    </row>
    <row r="8" ht="25" customHeight="1" spans="1:29">
      <c r="A8" s="15">
        <v>2</v>
      </c>
      <c r="B8" s="15" t="s">
        <v>18</v>
      </c>
      <c r="C8" s="17">
        <v>40626</v>
      </c>
      <c r="D8" s="18">
        <v>10050</v>
      </c>
      <c r="E8" s="20">
        <v>0.5</v>
      </c>
      <c r="F8" s="18">
        <v>33479.524353</v>
      </c>
      <c r="G8" s="18">
        <v>2089.023911</v>
      </c>
      <c r="H8" s="20">
        <f>G8/F8</f>
        <v>0.0623970606324581</v>
      </c>
      <c r="I8" s="71">
        <v>0.132871301350187</v>
      </c>
      <c r="J8" s="18">
        <v>100291.6342</v>
      </c>
      <c r="K8" s="18">
        <v>5027.959018</v>
      </c>
      <c r="L8" s="20">
        <f>K8/J8</f>
        <v>0.0501333840863867</v>
      </c>
      <c r="M8" s="71">
        <v>0.179269041165306</v>
      </c>
      <c r="N8" s="18">
        <v>105522.75196</v>
      </c>
      <c r="O8" s="18">
        <f>45424305.16/10000</f>
        <v>4542.430516</v>
      </c>
      <c r="P8" s="20">
        <f t="shared" ref="P8:P13" si="0">O8/N8</f>
        <v>0.043046929990244</v>
      </c>
      <c r="Q8" s="71">
        <v>0.14411332847736</v>
      </c>
      <c r="R8" s="18">
        <v>0</v>
      </c>
      <c r="S8" s="18">
        <v>0</v>
      </c>
      <c r="T8" s="18">
        <v>3590.63</v>
      </c>
      <c r="U8" s="18">
        <v>810.192046</v>
      </c>
      <c r="V8" s="18">
        <f>3590.63+810</f>
        <v>4400.63</v>
      </c>
      <c r="W8" s="18">
        <f>3590.63+810</f>
        <v>4400.63</v>
      </c>
      <c r="X8" s="20">
        <f>V8/(D8*2)</f>
        <v>0.218936815920398</v>
      </c>
      <c r="Y8" s="20">
        <f>X8/AB8</f>
        <v>0.0207941550379769</v>
      </c>
      <c r="Z8" s="32">
        <v>44469</v>
      </c>
      <c r="AA8">
        <f>Z8-C8</f>
        <v>3843</v>
      </c>
      <c r="AB8" s="3">
        <f>AA8/365</f>
        <v>10.5287671232877</v>
      </c>
      <c r="AC8" s="3">
        <f>V8/AB8</f>
        <v>417.962516263336</v>
      </c>
    </row>
    <row r="9" ht="25" customHeight="1" spans="1:29">
      <c r="A9" s="15">
        <v>3</v>
      </c>
      <c r="B9" s="15" t="s">
        <v>19</v>
      </c>
      <c r="C9" s="17" t="s">
        <v>55</v>
      </c>
      <c r="D9" s="18">
        <v>15300</v>
      </c>
      <c r="E9" s="20">
        <v>0.5</v>
      </c>
      <c r="F9" s="18">
        <v>8557.806326</v>
      </c>
      <c r="G9" s="18">
        <v>752.313181</v>
      </c>
      <c r="H9" s="20">
        <f>G9/F9</f>
        <v>0.0879095824725959</v>
      </c>
      <c r="I9" s="71">
        <v>0.0332272887946271</v>
      </c>
      <c r="J9" s="18">
        <v>31124.747617</v>
      </c>
      <c r="K9" s="18">
        <v>1089.16302</v>
      </c>
      <c r="L9" s="20">
        <f>K9/J9</f>
        <v>0.0349934731488428</v>
      </c>
      <c r="M9" s="71">
        <v>0.0237454487889821</v>
      </c>
      <c r="N9" s="18">
        <f>200103981.21/10000</f>
        <v>20010.398121</v>
      </c>
      <c r="O9" s="18">
        <v>1340</v>
      </c>
      <c r="P9" s="20">
        <f t="shared" si="0"/>
        <v>0.0669651843954934</v>
      </c>
      <c r="Q9" s="71">
        <v>0.0305324208666293</v>
      </c>
      <c r="R9" s="18">
        <v>0</v>
      </c>
      <c r="S9" s="18">
        <v>0</v>
      </c>
      <c r="T9" s="18">
        <v>253.895123</v>
      </c>
      <c r="U9" s="18"/>
      <c r="V9" s="18">
        <v>253.895123</v>
      </c>
      <c r="W9" s="18">
        <v>253.895123</v>
      </c>
      <c r="X9" s="20">
        <f>V9/D9</f>
        <v>0.0165944524836601</v>
      </c>
      <c r="Y9" s="20">
        <f>X9/AB9</f>
        <v>0.00382868214698859</v>
      </c>
      <c r="Z9" s="32">
        <v>44469</v>
      </c>
      <c r="AA9">
        <f>Z9-C9</f>
        <v>1582</v>
      </c>
      <c r="AB9" s="3">
        <f>AA9/365</f>
        <v>4.33424657534247</v>
      </c>
      <c r="AC9" s="3">
        <f>V9/AB9</f>
        <v>58.5788368489254</v>
      </c>
    </row>
    <row r="10" ht="25" customHeight="1" spans="1:29">
      <c r="A10" s="15">
        <v>4</v>
      </c>
      <c r="B10" s="15" t="s">
        <v>20</v>
      </c>
      <c r="C10" s="17">
        <v>42948</v>
      </c>
      <c r="D10" s="18">
        <v>6120</v>
      </c>
      <c r="E10" s="20">
        <v>0.51</v>
      </c>
      <c r="F10" s="18">
        <v>18846.029263</v>
      </c>
      <c r="G10" s="18">
        <v>91.318779</v>
      </c>
      <c r="H10" s="20">
        <f>G10/F10</f>
        <v>0.00484551826411966</v>
      </c>
      <c r="I10" s="19">
        <v>0.00995380705903105</v>
      </c>
      <c r="J10" s="18">
        <v>21244.76783</v>
      </c>
      <c r="K10" s="18">
        <v>145.3176</v>
      </c>
      <c r="L10" s="20">
        <f>K10/J10</f>
        <v>0.00684015947657452</v>
      </c>
      <c r="M10" s="19">
        <v>0.0120847336741997</v>
      </c>
      <c r="N10" s="18">
        <f>273505757.03/10000</f>
        <v>27350.575703</v>
      </c>
      <c r="O10" s="18">
        <f>0.0001*13269655.51</f>
        <v>1326.965551</v>
      </c>
      <c r="P10" s="20">
        <f t="shared" si="0"/>
        <v>0.0485169147958538</v>
      </c>
      <c r="Q10" s="19">
        <v>0.0799193029083704</v>
      </c>
      <c r="R10" s="18">
        <v>0</v>
      </c>
      <c r="S10" s="18">
        <v>0</v>
      </c>
      <c r="T10" s="18">
        <v>0</v>
      </c>
      <c r="U10" s="18"/>
      <c r="V10" s="18">
        <v>0</v>
      </c>
      <c r="W10" s="18">
        <v>0</v>
      </c>
      <c r="X10" s="20">
        <f>V10/D10</f>
        <v>0</v>
      </c>
      <c r="Y10" s="20">
        <f>X10/AB10</f>
        <v>0</v>
      </c>
      <c r="Z10" s="32">
        <v>44469</v>
      </c>
      <c r="AA10">
        <f>Z10-C10</f>
        <v>1521</v>
      </c>
      <c r="AB10" s="3">
        <f>AA10/365</f>
        <v>4.16712328767123</v>
      </c>
      <c r="AC10" s="3">
        <f>V10/AB10</f>
        <v>0</v>
      </c>
    </row>
    <row r="11" ht="53" customHeight="1" spans="1:29">
      <c r="A11" s="15">
        <v>5</v>
      </c>
      <c r="B11" s="15" t="s">
        <v>21</v>
      </c>
      <c r="C11" s="17">
        <v>43266</v>
      </c>
      <c r="D11" s="18">
        <v>6500</v>
      </c>
      <c r="E11" s="20" t="s">
        <v>56</v>
      </c>
      <c r="F11" s="18">
        <v>333.799837</v>
      </c>
      <c r="G11" s="18">
        <v>158.082128</v>
      </c>
      <c r="H11" s="20">
        <f>G11/F11</f>
        <v>0.473583598544418</v>
      </c>
      <c r="I11" s="19">
        <v>0.0176740760837968</v>
      </c>
      <c r="J11" s="18">
        <v>512.216016</v>
      </c>
      <c r="K11" s="18">
        <v>628.388636</v>
      </c>
      <c r="L11" s="20">
        <f>K11/J11</f>
        <v>1.22680395842991</v>
      </c>
      <c r="M11" s="19">
        <v>0.0497259495459303</v>
      </c>
      <c r="N11" s="18">
        <v>463.26</v>
      </c>
      <c r="O11" s="18">
        <f>4001666.64/10000</f>
        <v>400.166664</v>
      </c>
      <c r="P11" s="20">
        <f t="shared" si="0"/>
        <v>0.863805776453827</v>
      </c>
      <c r="Q11" s="19">
        <v>0.0288268977693804</v>
      </c>
      <c r="R11" s="57" t="s">
        <v>31</v>
      </c>
      <c r="S11" s="73" t="s">
        <v>57</v>
      </c>
      <c r="T11" s="18">
        <v>69.358533</v>
      </c>
      <c r="U11" s="18">
        <v>260</v>
      </c>
      <c r="V11" s="18">
        <v>329.358533</v>
      </c>
      <c r="W11" s="18">
        <v>329.358533</v>
      </c>
      <c r="X11" s="20">
        <f>V11/D11</f>
        <v>0.0506705435384615</v>
      </c>
      <c r="Y11" s="20">
        <f>X11/AB11</f>
        <v>0.0153738556870644</v>
      </c>
      <c r="Z11" s="32">
        <v>44469</v>
      </c>
      <c r="AA11">
        <f>Z11-C11</f>
        <v>1203</v>
      </c>
      <c r="AB11" s="3">
        <f>AA11/365</f>
        <v>3.2958904109589</v>
      </c>
      <c r="AC11" s="3">
        <f>V11/AB11</f>
        <v>99.9300619659185</v>
      </c>
    </row>
    <row r="12" ht="64" customHeight="1" spans="1:29">
      <c r="A12" s="15">
        <v>6</v>
      </c>
      <c r="B12" s="15" t="s">
        <v>22</v>
      </c>
      <c r="C12" s="17">
        <v>44180</v>
      </c>
      <c r="D12" s="18">
        <v>1100</v>
      </c>
      <c r="E12" s="20">
        <v>0.55</v>
      </c>
      <c r="F12" s="18" t="s">
        <v>31</v>
      </c>
      <c r="G12" s="18" t="s">
        <v>31</v>
      </c>
      <c r="H12" s="68" t="s">
        <v>31</v>
      </c>
      <c r="I12" s="68" t="s">
        <v>31</v>
      </c>
      <c r="J12" s="18" t="s">
        <v>31</v>
      </c>
      <c r="K12" s="18" t="s">
        <v>31</v>
      </c>
      <c r="L12" s="68" t="s">
        <v>31</v>
      </c>
      <c r="M12" s="68" t="s">
        <v>31</v>
      </c>
      <c r="N12" s="18">
        <v>0</v>
      </c>
      <c r="O12" s="18">
        <v>1.203202</v>
      </c>
      <c r="P12" s="72" t="s">
        <v>31</v>
      </c>
      <c r="Q12" s="72" t="s">
        <v>31</v>
      </c>
      <c r="R12" s="57" t="s">
        <v>31</v>
      </c>
      <c r="S12" s="57" t="s">
        <v>31</v>
      </c>
      <c r="T12" s="65" t="s">
        <v>31</v>
      </c>
      <c r="U12" s="65" t="s">
        <v>58</v>
      </c>
      <c r="V12" s="18">
        <v>0</v>
      </c>
      <c r="W12" s="18">
        <v>0</v>
      </c>
      <c r="X12" s="20">
        <f>V12/D12</f>
        <v>0</v>
      </c>
      <c r="Y12" s="20">
        <f>X12/AB12</f>
        <v>0</v>
      </c>
      <c r="Z12" s="32">
        <v>44469</v>
      </c>
      <c r="AA12">
        <f>Z12-C12</f>
        <v>289</v>
      </c>
      <c r="AB12" s="3">
        <f>AA12/365</f>
        <v>0.791780821917808</v>
      </c>
      <c r="AC12" s="3">
        <f>V12/AB12</f>
        <v>0</v>
      </c>
    </row>
    <row r="13" s="2" customFormat="1" ht="25" customHeight="1" spans="1:29">
      <c r="A13" s="21"/>
      <c r="B13" s="22" t="s">
        <v>23</v>
      </c>
      <c r="C13" s="23"/>
      <c r="D13" s="69">
        <f>SUM(D8:D12)</f>
        <v>39070</v>
      </c>
      <c r="E13" s="23"/>
      <c r="F13" s="69">
        <f>SUM(F8:F12)</f>
        <v>61217.159779</v>
      </c>
      <c r="G13" s="69">
        <f>SUM(G8:G12)</f>
        <v>3090.737999</v>
      </c>
      <c r="H13" s="70">
        <f>G13/F13</f>
        <v>0.0504880986010764</v>
      </c>
      <c r="I13" s="22" t="s">
        <v>31</v>
      </c>
      <c r="J13" s="69">
        <f>SUM(J8:J12)</f>
        <v>153173.365663</v>
      </c>
      <c r="K13" s="69">
        <f>SUM(K8:K12)</f>
        <v>6890.828274</v>
      </c>
      <c r="L13" s="70">
        <f>K13/J13</f>
        <v>0.0449871179899556</v>
      </c>
      <c r="M13" s="22" t="s">
        <v>31</v>
      </c>
      <c r="N13" s="69">
        <f>SUM(N8:N12)</f>
        <v>153346.985784</v>
      </c>
      <c r="O13" s="69">
        <f>SUM(O8:O12)</f>
        <v>7610.765933</v>
      </c>
      <c r="P13" s="70">
        <f t="shared" si="0"/>
        <v>0.0496310109656821</v>
      </c>
      <c r="Q13" s="22" t="s">
        <v>31</v>
      </c>
      <c r="R13" s="69">
        <f t="shared" ref="R13:W13" si="1">SUM(R8:R12)</f>
        <v>0</v>
      </c>
      <c r="S13" s="69">
        <f t="shared" si="1"/>
        <v>0</v>
      </c>
      <c r="T13" s="69">
        <f t="shared" si="1"/>
        <v>3913.883656</v>
      </c>
      <c r="U13" s="69">
        <f t="shared" si="1"/>
        <v>1070.192046</v>
      </c>
      <c r="V13" s="69">
        <f t="shared" si="1"/>
        <v>4983.883656</v>
      </c>
      <c r="W13" s="69">
        <f t="shared" si="1"/>
        <v>4983.883656</v>
      </c>
      <c r="X13" s="70">
        <f>V13/D13</f>
        <v>0.127562929511134</v>
      </c>
      <c r="Y13" s="70">
        <f>AC13/D13</f>
        <v>0.0147548352976243</v>
      </c>
      <c r="AC13" s="2">
        <f>SUM(AC8:AC12)</f>
        <v>576.47141507818</v>
      </c>
    </row>
  </sheetData>
  <mergeCells count="14">
    <mergeCell ref="A2:Y2"/>
    <mergeCell ref="F4:Q4"/>
    <mergeCell ref="R4:Y4"/>
    <mergeCell ref="F5:I5"/>
    <mergeCell ref="J5:M5"/>
    <mergeCell ref="N5:Q5"/>
    <mergeCell ref="R5:W5"/>
    <mergeCell ref="A4:A6"/>
    <mergeCell ref="B4:B6"/>
    <mergeCell ref="C4:C6"/>
    <mergeCell ref="D4:D6"/>
    <mergeCell ref="E4:E6"/>
    <mergeCell ref="X5:X6"/>
    <mergeCell ref="Y5:Y6"/>
  </mergeCells>
  <printOptions horizontalCentered="1"/>
  <pageMargins left="0.393055555555556" right="0.393055555555556" top="1" bottom="1" header="0.511805555555556" footer="0.511805555555556"/>
  <pageSetup paperSize="9" scale="67" orientation="landscape" blackAndWhite="1"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C24"/>
  <sheetViews>
    <sheetView view="pageBreakPreview" zoomScaleNormal="100" zoomScaleSheetLayoutView="100" workbookViewId="0">
      <pane xSplit="2" ySplit="6" topLeftCell="C7" activePane="bottomRight" state="frozen"/>
      <selection/>
      <selection pane="topRight"/>
      <selection pane="bottomLeft"/>
      <selection pane="bottomRight" activeCell="H25" sqref="H25"/>
    </sheetView>
  </sheetViews>
  <sheetFormatPr defaultColWidth="9" defaultRowHeight="13.5"/>
  <cols>
    <col min="1" max="1" width="5.375" customWidth="1"/>
    <col min="2" max="2" width="14.625" customWidth="1"/>
    <col min="3" max="3" width="11.25" customWidth="1"/>
    <col min="4" max="4" width="9.875" customWidth="1"/>
    <col min="5" max="5" width="9.25" customWidth="1"/>
    <col min="6" max="6" width="10.375" customWidth="1"/>
    <col min="7" max="9" width="9.375" customWidth="1"/>
    <col min="10" max="10" width="10.75" customWidth="1"/>
    <col min="11" max="13" width="9.375" customWidth="1"/>
    <col min="14" max="14" width="9.75" customWidth="1"/>
    <col min="15" max="17" width="9.375" customWidth="1"/>
    <col min="18" max="20" width="8" customWidth="1"/>
    <col min="21" max="21" width="8.125" customWidth="1"/>
    <col min="22" max="23" width="8.625" customWidth="1"/>
    <col min="26" max="26" width="10.375" hidden="1" customWidth="1"/>
    <col min="27" max="27" width="6.375" hidden="1" customWidth="1"/>
    <col min="28" max="28" width="5.375" style="3" hidden="1" customWidth="1"/>
    <col min="29" max="29" width="8.375" hidden="1" customWidth="1"/>
  </cols>
  <sheetData>
    <row r="1" customFormat="1" ht="25" customHeight="1" spans="1:1">
      <c r="A1" t="s">
        <v>0</v>
      </c>
    </row>
    <row r="2" ht="29" customHeight="1" spans="1:25">
      <c r="A2" s="4" t="s">
        <v>59</v>
      </c>
      <c r="B2" s="4"/>
      <c r="C2" s="4"/>
      <c r="D2" s="4"/>
      <c r="E2" s="4"/>
      <c r="F2" s="4"/>
      <c r="G2" s="4"/>
      <c r="H2" s="4"/>
      <c r="I2" s="4"/>
      <c r="J2" s="4"/>
      <c r="K2" s="4"/>
      <c r="L2" s="4"/>
      <c r="M2" s="4"/>
      <c r="N2" s="4"/>
      <c r="O2" s="4"/>
      <c r="P2" s="4"/>
      <c r="Q2" s="4"/>
      <c r="R2" s="4"/>
      <c r="S2" s="4"/>
      <c r="T2" s="4"/>
      <c r="U2" s="4"/>
      <c r="V2" s="4"/>
      <c r="W2" s="4"/>
      <c r="X2" s="4"/>
      <c r="Y2" s="4"/>
    </row>
    <row r="3" spans="17:17">
      <c r="Q3" t="s">
        <v>2</v>
      </c>
    </row>
    <row r="4" s="1" customFormat="1" ht="20" customHeight="1" spans="1:28">
      <c r="A4" s="5" t="s">
        <v>3</v>
      </c>
      <c r="B4" s="6" t="s">
        <v>4</v>
      </c>
      <c r="C4" s="5" t="s">
        <v>38</v>
      </c>
      <c r="D4" s="5" t="s">
        <v>39</v>
      </c>
      <c r="E4" s="7" t="s">
        <v>40</v>
      </c>
      <c r="F4" s="8" t="s">
        <v>41</v>
      </c>
      <c r="G4" s="9"/>
      <c r="H4" s="9"/>
      <c r="I4" s="9"/>
      <c r="J4" s="9"/>
      <c r="K4" s="9"/>
      <c r="L4" s="9"/>
      <c r="M4" s="9"/>
      <c r="N4" s="9"/>
      <c r="O4" s="9"/>
      <c r="P4" s="9"/>
      <c r="Q4" s="28"/>
      <c r="R4" s="30" t="s">
        <v>42</v>
      </c>
      <c r="S4" s="30"/>
      <c r="T4" s="30"/>
      <c r="U4" s="30"/>
      <c r="V4" s="30"/>
      <c r="W4" s="30"/>
      <c r="X4" s="30"/>
      <c r="Y4" s="30"/>
      <c r="AB4" s="31"/>
    </row>
    <row r="5" s="1" customFormat="1" ht="20" customHeight="1" spans="1:28">
      <c r="A5" s="5"/>
      <c r="B5" s="10"/>
      <c r="C5" s="5"/>
      <c r="D5" s="5"/>
      <c r="E5" s="11"/>
      <c r="F5" s="8" t="s">
        <v>43</v>
      </c>
      <c r="G5" s="9"/>
      <c r="H5" s="9"/>
      <c r="I5" s="28"/>
      <c r="J5" s="8" t="s">
        <v>44</v>
      </c>
      <c r="K5" s="9"/>
      <c r="L5" s="9"/>
      <c r="M5" s="28"/>
      <c r="N5" s="8" t="s">
        <v>45</v>
      </c>
      <c r="O5" s="9"/>
      <c r="P5" s="9"/>
      <c r="Q5" s="28"/>
      <c r="R5" s="30" t="s">
        <v>46</v>
      </c>
      <c r="S5" s="30"/>
      <c r="T5" s="30"/>
      <c r="U5" s="30"/>
      <c r="V5" s="30"/>
      <c r="W5" s="30"/>
      <c r="X5" s="30" t="s">
        <v>47</v>
      </c>
      <c r="Y5" s="30" t="s">
        <v>48</v>
      </c>
      <c r="AB5" s="31"/>
    </row>
    <row r="6" s="1" customFormat="1" ht="33" customHeight="1" spans="1:28">
      <c r="A6" s="5"/>
      <c r="B6" s="12"/>
      <c r="C6" s="5"/>
      <c r="D6" s="5"/>
      <c r="E6" s="13"/>
      <c r="F6" s="5" t="s">
        <v>49</v>
      </c>
      <c r="G6" s="5" t="s">
        <v>10</v>
      </c>
      <c r="H6" s="14" t="s">
        <v>50</v>
      </c>
      <c r="I6" s="14" t="s">
        <v>51</v>
      </c>
      <c r="J6" s="5" t="s">
        <v>49</v>
      </c>
      <c r="K6" s="5" t="s">
        <v>10</v>
      </c>
      <c r="L6" s="14" t="s">
        <v>50</v>
      </c>
      <c r="M6" s="14" t="s">
        <v>51</v>
      </c>
      <c r="N6" s="5" t="s">
        <v>49</v>
      </c>
      <c r="O6" s="5" t="s">
        <v>10</v>
      </c>
      <c r="P6" s="14" t="s">
        <v>50</v>
      </c>
      <c r="Q6" s="14" t="s">
        <v>51</v>
      </c>
      <c r="R6" s="30" t="s">
        <v>52</v>
      </c>
      <c r="S6" s="30" t="s">
        <v>43</v>
      </c>
      <c r="T6" s="30" t="s">
        <v>44</v>
      </c>
      <c r="U6" s="30" t="s">
        <v>45</v>
      </c>
      <c r="V6" s="30" t="s">
        <v>53</v>
      </c>
      <c r="W6" s="30" t="s">
        <v>54</v>
      </c>
      <c r="X6" s="30"/>
      <c r="Y6" s="30"/>
      <c r="AB6" s="31"/>
    </row>
    <row r="7" customFormat="1" ht="50" customHeight="1" spans="1:29">
      <c r="A7" s="15">
        <v>1</v>
      </c>
      <c r="B7" s="15" t="s">
        <v>26</v>
      </c>
      <c r="C7" s="17">
        <v>43100</v>
      </c>
      <c r="D7" s="18">
        <v>3000</v>
      </c>
      <c r="E7" s="20" t="s">
        <v>60</v>
      </c>
      <c r="F7" s="18">
        <v>334.986364</v>
      </c>
      <c r="G7" s="18">
        <v>60.781258</v>
      </c>
      <c r="H7" s="20">
        <f>G7/F7</f>
        <v>0.181443976627061</v>
      </c>
      <c r="I7" s="19">
        <v>0.00746949954353058</v>
      </c>
      <c r="J7" s="18">
        <v>510.243521</v>
      </c>
      <c r="K7" s="18">
        <v>1.6556</v>
      </c>
      <c r="L7" s="20">
        <f>K7/J7</f>
        <v>0.00324472517897978</v>
      </c>
      <c r="M7" s="19">
        <v>9.95685363425158e-5</v>
      </c>
      <c r="N7" s="61">
        <f>86940403.04/10000</f>
        <v>8694.040304</v>
      </c>
      <c r="O7" s="18">
        <f>3565328.97/10000</f>
        <v>356.532897</v>
      </c>
      <c r="P7" s="20">
        <f>O7/N7</f>
        <v>0.0410088847685655</v>
      </c>
      <c r="Q7" s="19">
        <v>0.0213559370331251</v>
      </c>
      <c r="R7" s="18">
        <v>0</v>
      </c>
      <c r="S7" s="18">
        <v>0</v>
      </c>
      <c r="T7" s="18">
        <v>21.460874</v>
      </c>
      <c r="U7" s="64" t="s">
        <v>61</v>
      </c>
      <c r="V7" s="18">
        <v>21.460874</v>
      </c>
      <c r="W7" s="18">
        <v>21.460874</v>
      </c>
      <c r="X7" s="20">
        <f>V7/D7</f>
        <v>0.00715362466666667</v>
      </c>
      <c r="Y7" s="20">
        <f>X7/AB7</f>
        <v>0.00190728488190894</v>
      </c>
      <c r="Z7" s="32">
        <v>44469</v>
      </c>
      <c r="AA7">
        <f>Z7-C7</f>
        <v>1369</v>
      </c>
      <c r="AB7" s="3">
        <f>AA7/365</f>
        <v>3.75068493150685</v>
      </c>
      <c r="AC7" s="3">
        <f>V7/AB7</f>
        <v>5.72185464572681</v>
      </c>
    </row>
    <row r="8" ht="25" customHeight="1" spans="1:29">
      <c r="A8" s="15">
        <v>2</v>
      </c>
      <c r="B8" s="16" t="s">
        <v>27</v>
      </c>
      <c r="C8" s="17">
        <v>43498</v>
      </c>
      <c r="D8" s="18">
        <v>3000</v>
      </c>
      <c r="E8" s="19">
        <v>0.3</v>
      </c>
      <c r="F8" s="57">
        <v>0</v>
      </c>
      <c r="G8" s="18">
        <v>-78.009556</v>
      </c>
      <c r="H8" s="57" t="s">
        <v>31</v>
      </c>
      <c r="I8" s="19">
        <v>-0.0085014409221902</v>
      </c>
      <c r="J8" s="18">
        <v>170.36519</v>
      </c>
      <c r="K8" s="18">
        <v>8.31868</v>
      </c>
      <c r="L8" s="20">
        <f>K8/J8</f>
        <v>0.048828519488048</v>
      </c>
      <c r="M8" s="19">
        <v>0.000734292651151774</v>
      </c>
      <c r="N8" s="18">
        <v>3882.53</v>
      </c>
      <c r="O8" s="18">
        <v>32.89</v>
      </c>
      <c r="P8" s="20">
        <f t="shared" ref="P8:P10" si="0">O8/N8</f>
        <v>0.00847128032494276</v>
      </c>
      <c r="Q8" s="19">
        <v>0.000781904041405409</v>
      </c>
      <c r="R8" s="57" t="s">
        <v>31</v>
      </c>
      <c r="S8" s="18">
        <v>0</v>
      </c>
      <c r="T8" s="18">
        <v>0</v>
      </c>
      <c r="U8" s="18">
        <v>0</v>
      </c>
      <c r="V8" s="18">
        <v>0</v>
      </c>
      <c r="W8" s="18">
        <v>0</v>
      </c>
      <c r="X8" s="20">
        <f>V8/D8</f>
        <v>0</v>
      </c>
      <c r="Y8" s="20">
        <f>X8/AB8</f>
        <v>0</v>
      </c>
      <c r="Z8" s="32">
        <v>44469</v>
      </c>
      <c r="AA8">
        <f>Z8-C8</f>
        <v>971</v>
      </c>
      <c r="AB8" s="3">
        <f>AA8/365</f>
        <v>2.66027397260274</v>
      </c>
      <c r="AC8" s="3">
        <f>V8/AB8</f>
        <v>0</v>
      </c>
    </row>
    <row r="9" ht="50" customHeight="1" spans="1:29">
      <c r="A9" s="15">
        <v>3</v>
      </c>
      <c r="B9" s="16" t="s">
        <v>29</v>
      </c>
      <c r="C9" s="17">
        <v>44096</v>
      </c>
      <c r="D9" s="18">
        <v>3015</v>
      </c>
      <c r="E9" s="19">
        <v>0.5</v>
      </c>
      <c r="F9" s="58" t="s">
        <v>62</v>
      </c>
      <c r="G9" s="59"/>
      <c r="H9" s="59"/>
      <c r="I9" s="62"/>
      <c r="J9" s="58" t="s">
        <v>63</v>
      </c>
      <c r="K9" s="59"/>
      <c r="L9" s="59"/>
      <c r="M9" s="62"/>
      <c r="N9" s="18">
        <v>2517.45</v>
      </c>
      <c r="O9" s="18">
        <v>41</v>
      </c>
      <c r="P9" s="20">
        <f t="shared" si="0"/>
        <v>0.0162863214760968</v>
      </c>
      <c r="Q9" s="20">
        <v>0.00515187802631113</v>
      </c>
      <c r="R9" s="57" t="s">
        <v>31</v>
      </c>
      <c r="S9" s="57" t="s">
        <v>31</v>
      </c>
      <c r="T9" s="65" t="s">
        <v>64</v>
      </c>
      <c r="U9" s="18">
        <v>0</v>
      </c>
      <c r="V9" s="18">
        <v>0</v>
      </c>
      <c r="W9" s="18">
        <v>0</v>
      </c>
      <c r="X9" s="20">
        <f>V9/D9</f>
        <v>0</v>
      </c>
      <c r="Y9" s="20">
        <f>X9/AB9</f>
        <v>0</v>
      </c>
      <c r="Z9" s="32">
        <v>44469</v>
      </c>
      <c r="AA9">
        <f t="shared" ref="AA9:AA17" si="1">Z9-C9</f>
        <v>373</v>
      </c>
      <c r="AB9" s="3">
        <f t="shared" ref="AB9:AB17" si="2">AA9/365</f>
        <v>1.02191780821918</v>
      </c>
      <c r="AC9" s="3">
        <f>V9/AB9</f>
        <v>0</v>
      </c>
    </row>
    <row r="10" ht="45" customHeight="1" spans="1:29">
      <c r="A10" s="15">
        <v>4</v>
      </c>
      <c r="B10" s="16" t="s">
        <v>30</v>
      </c>
      <c r="C10" s="17">
        <v>44307</v>
      </c>
      <c r="D10" s="18">
        <v>9000.0045</v>
      </c>
      <c r="E10" s="19">
        <v>0.45</v>
      </c>
      <c r="F10" s="58" t="s">
        <v>65</v>
      </c>
      <c r="G10" s="60"/>
      <c r="H10" s="60"/>
      <c r="I10" s="60"/>
      <c r="J10" s="60"/>
      <c r="K10" s="60"/>
      <c r="L10" s="60"/>
      <c r="M10" s="60"/>
      <c r="N10" s="63">
        <v>0</v>
      </c>
      <c r="O10" s="18">
        <v>-34</v>
      </c>
      <c r="P10" s="57" t="s">
        <v>31</v>
      </c>
      <c r="Q10" s="20">
        <v>-0.0120515099185812</v>
      </c>
      <c r="R10" s="57" t="s">
        <v>31</v>
      </c>
      <c r="S10" s="57" t="s">
        <v>31</v>
      </c>
      <c r="T10" s="57" t="s">
        <v>31</v>
      </c>
      <c r="U10" s="65" t="s">
        <v>64</v>
      </c>
      <c r="V10" s="57" t="s">
        <v>31</v>
      </c>
      <c r="W10" s="57" t="s">
        <v>31</v>
      </c>
      <c r="X10" s="57" t="s">
        <v>31</v>
      </c>
      <c r="Y10" s="57" t="s">
        <v>31</v>
      </c>
      <c r="Z10" s="32">
        <v>44469</v>
      </c>
      <c r="AA10">
        <f t="shared" si="1"/>
        <v>162</v>
      </c>
      <c r="AB10" s="3">
        <f t="shared" si="2"/>
        <v>0.443835616438356</v>
      </c>
      <c r="AC10" s="3"/>
    </row>
    <row r="11" ht="25" customHeight="1" spans="1:29">
      <c r="A11" s="15">
        <v>5</v>
      </c>
      <c r="B11" s="16" t="s">
        <v>32</v>
      </c>
      <c r="C11" s="17">
        <v>42430</v>
      </c>
      <c r="D11" s="18">
        <v>17467</v>
      </c>
      <c r="E11" s="19">
        <v>0.3</v>
      </c>
      <c r="F11" s="58" t="s">
        <v>33</v>
      </c>
      <c r="G11" s="60"/>
      <c r="H11" s="60"/>
      <c r="I11" s="60"/>
      <c r="J11" s="60"/>
      <c r="K11" s="60"/>
      <c r="L11" s="60"/>
      <c r="M11" s="60"/>
      <c r="N11" s="60"/>
      <c r="O11" s="60"/>
      <c r="P11" s="60"/>
      <c r="Q11" s="60"/>
      <c r="R11" s="57" t="s">
        <v>31</v>
      </c>
      <c r="S11" s="57" t="s">
        <v>31</v>
      </c>
      <c r="T11" s="57" t="s">
        <v>31</v>
      </c>
      <c r="U11" s="57" t="s">
        <v>31</v>
      </c>
      <c r="V11" s="57" t="s">
        <v>31</v>
      </c>
      <c r="W11" s="57" t="s">
        <v>31</v>
      </c>
      <c r="X11" s="57" t="s">
        <v>31</v>
      </c>
      <c r="Y11" s="57" t="s">
        <v>31</v>
      </c>
      <c r="Z11" s="32">
        <v>44469</v>
      </c>
      <c r="AA11">
        <f t="shared" si="1"/>
        <v>2039</v>
      </c>
      <c r="AB11" s="3">
        <f t="shared" si="2"/>
        <v>5.58630136986301</v>
      </c>
      <c r="AC11" s="3"/>
    </row>
    <row r="12" ht="25" customHeight="1" spans="1:29">
      <c r="A12" s="15">
        <v>6</v>
      </c>
      <c r="B12" s="16" t="s">
        <v>34</v>
      </c>
      <c r="C12" s="17">
        <v>39037</v>
      </c>
      <c r="D12" s="18">
        <v>31440.63</v>
      </c>
      <c r="E12" s="19">
        <v>0.39</v>
      </c>
      <c r="F12" s="18">
        <v>128875.817824</v>
      </c>
      <c r="G12" s="18">
        <v>11621.176746</v>
      </c>
      <c r="H12" s="20">
        <f>G12/F12</f>
        <v>0.0901734471386286</v>
      </c>
      <c r="I12" s="19">
        <v>0.0836093546120646</v>
      </c>
      <c r="J12" s="18">
        <v>114905.085878</v>
      </c>
      <c r="K12" s="18">
        <v>16210.65044</v>
      </c>
      <c r="L12" s="20">
        <f>K12/J12</f>
        <v>0.141078615590711</v>
      </c>
      <c r="M12" s="19">
        <v>0.11996076754772</v>
      </c>
      <c r="N12" s="18">
        <v>136503.221069</v>
      </c>
      <c r="O12" s="18">
        <v>20807.482627</v>
      </c>
      <c r="P12" s="20">
        <f>O12/N12</f>
        <v>0.15243217313152</v>
      </c>
      <c r="Q12" s="19">
        <v>0.153440345066999</v>
      </c>
      <c r="R12" s="18">
        <v>5538</v>
      </c>
      <c r="S12" s="18">
        <v>5148</v>
      </c>
      <c r="T12" s="18">
        <v>2925</v>
      </c>
      <c r="U12" s="18">
        <v>4173</v>
      </c>
      <c r="V12" s="18">
        <f>92200*0.3899968+4173</f>
        <v>40130.70496</v>
      </c>
      <c r="W12" s="18">
        <f>92200*0.3899968+4173</f>
        <v>40130.70496</v>
      </c>
      <c r="X12" s="20">
        <f>V12/D12</f>
        <v>1.27639633684185</v>
      </c>
      <c r="Y12" s="20">
        <f>X12/AB12</f>
        <v>0.0857666905278489</v>
      </c>
      <c r="Z12" s="32">
        <v>44469</v>
      </c>
      <c r="AA12">
        <f t="shared" si="1"/>
        <v>5432</v>
      </c>
      <c r="AB12" s="3">
        <f t="shared" si="2"/>
        <v>14.8821917808219</v>
      </c>
      <c r="AC12" s="3">
        <f>V12/AB12</f>
        <v>2696.5587832106</v>
      </c>
    </row>
    <row r="13" ht="25" customHeight="1" spans="1:29">
      <c r="A13" s="15">
        <v>7</v>
      </c>
      <c r="B13" s="16" t="s">
        <v>35</v>
      </c>
      <c r="C13" s="17">
        <v>33884</v>
      </c>
      <c r="D13" s="18">
        <v>400</v>
      </c>
      <c r="E13" s="19">
        <v>0.5</v>
      </c>
      <c r="F13" s="18">
        <v>6268.796995</v>
      </c>
      <c r="G13" s="18">
        <v>480.112324</v>
      </c>
      <c r="H13" s="20">
        <f>G13/F13</f>
        <v>0.0765876330630802</v>
      </c>
      <c r="I13" s="19">
        <v>0.15100207325501</v>
      </c>
      <c r="J13" s="18">
        <v>5665.132497</v>
      </c>
      <c r="K13" s="18">
        <v>10.939929</v>
      </c>
      <c r="L13" s="20">
        <f>K13/J13</f>
        <v>0.00193109852343141</v>
      </c>
      <c r="M13" s="19">
        <v>0.00362713093942691</v>
      </c>
      <c r="N13" s="18">
        <v>6593.78</v>
      </c>
      <c r="O13" s="18">
        <v>534.44</v>
      </c>
      <c r="P13" s="20">
        <f>O13/N13</f>
        <v>0.0810521430802969</v>
      </c>
      <c r="Q13" s="19">
        <v>0.128443975884467</v>
      </c>
      <c r="R13" s="18">
        <v>0</v>
      </c>
      <c r="S13" s="18">
        <v>242.648748</v>
      </c>
      <c r="T13" s="18">
        <v>107.027414</v>
      </c>
      <c r="U13" s="18">
        <v>50</v>
      </c>
      <c r="V13" s="18">
        <f>2096.876615+50</f>
        <v>2146.876615</v>
      </c>
      <c r="W13" s="18">
        <f>2096.876615+50</f>
        <v>2146.876615</v>
      </c>
      <c r="X13" s="20">
        <f>V13/D13</f>
        <v>5.3671915375</v>
      </c>
      <c r="Y13" s="20">
        <f>X13/AB13</f>
        <v>0.185075570258621</v>
      </c>
      <c r="Z13" s="32">
        <v>44469</v>
      </c>
      <c r="AA13">
        <f t="shared" si="1"/>
        <v>10585</v>
      </c>
      <c r="AB13" s="3">
        <f t="shared" si="2"/>
        <v>29</v>
      </c>
      <c r="AC13" s="3">
        <f>V13/AB13</f>
        <v>74.0302281034483</v>
      </c>
    </row>
    <row r="14" ht="25" customHeight="1" spans="1:29">
      <c r="A14" s="15">
        <v>8</v>
      </c>
      <c r="B14" s="16" t="s">
        <v>36</v>
      </c>
      <c r="C14" s="17">
        <v>34683</v>
      </c>
      <c r="D14" s="18">
        <v>1200</v>
      </c>
      <c r="E14" s="19">
        <v>0.2</v>
      </c>
      <c r="F14" s="18">
        <v>18179.669555</v>
      </c>
      <c r="G14" s="18">
        <v>2185.457512</v>
      </c>
      <c r="H14" s="20">
        <f>G14/F14</f>
        <v>0.120214369429995</v>
      </c>
      <c r="I14" s="19">
        <v>0.120975758966124</v>
      </c>
      <c r="J14" s="18">
        <v>18992.036098</v>
      </c>
      <c r="K14" s="18">
        <v>1891.521732</v>
      </c>
      <c r="L14" s="20">
        <f>K14/J14</f>
        <v>0.0995955211036689</v>
      </c>
      <c r="M14" s="19">
        <v>0.13440120135152</v>
      </c>
      <c r="N14" s="18">
        <v>23045</v>
      </c>
      <c r="O14" s="18">
        <v>2689</v>
      </c>
      <c r="P14" s="20">
        <f>O14/N14</f>
        <v>0.116684747233673</v>
      </c>
      <c r="Q14" s="19">
        <v>0.171221692610222</v>
      </c>
      <c r="R14" s="18">
        <v>600</v>
      </c>
      <c r="S14" s="18">
        <v>400</v>
      </c>
      <c r="T14" s="18">
        <v>700</v>
      </c>
      <c r="U14" s="18">
        <v>300</v>
      </c>
      <c r="V14" s="18">
        <f>3420+300</f>
        <v>3720</v>
      </c>
      <c r="W14" s="18">
        <f>3420+300</f>
        <v>3720</v>
      </c>
      <c r="X14" s="20">
        <f>V14/D14</f>
        <v>3.1</v>
      </c>
      <c r="Y14" s="20">
        <f>X14/AB14</f>
        <v>0.115624361332516</v>
      </c>
      <c r="Z14" s="32">
        <v>44469</v>
      </c>
      <c r="AA14">
        <f t="shared" si="1"/>
        <v>9786</v>
      </c>
      <c r="AB14" s="3">
        <f t="shared" si="2"/>
        <v>26.8109589041096</v>
      </c>
      <c r="AC14" s="3">
        <f>V14/AB14</f>
        <v>138.749233599019</v>
      </c>
    </row>
    <row r="15" s="2" customFormat="1" ht="25" customHeight="1" spans="1:29">
      <c r="A15" s="21"/>
      <c r="B15" s="22" t="s">
        <v>23</v>
      </c>
      <c r="C15" s="23"/>
      <c r="D15" s="24">
        <f>SUM(D7:D14)</f>
        <v>68522.6345</v>
      </c>
      <c r="E15" s="25"/>
      <c r="F15" s="24">
        <f>SUM(F7:F14)</f>
        <v>153659.270738</v>
      </c>
      <c r="G15" s="24">
        <f>SUM(G7:G14)</f>
        <v>14269.518284</v>
      </c>
      <c r="H15" s="26">
        <f>G15/F15</f>
        <v>0.0928646753005261</v>
      </c>
      <c r="I15" s="24"/>
      <c r="J15" s="24">
        <f>SUM(J7:J14)</f>
        <v>140242.863184</v>
      </c>
      <c r="K15" s="24">
        <f>SUM(K7:K14)</f>
        <v>18123.086381</v>
      </c>
      <c r="L15" s="26">
        <f>K15/J15</f>
        <v>0.129226443111207</v>
      </c>
      <c r="M15" s="24"/>
      <c r="N15" s="24">
        <f>SUM(N7:N14)</f>
        <v>181236.021373</v>
      </c>
      <c r="O15" s="24">
        <f>SUM(O7:O14)</f>
        <v>24427.345524</v>
      </c>
      <c r="P15" s="26">
        <f>O15/N15</f>
        <v>0.134781956362451</v>
      </c>
      <c r="Q15" s="24"/>
      <c r="R15" s="24">
        <f t="shared" ref="R15:W15" si="3">SUM(R7:R14)</f>
        <v>6138</v>
      </c>
      <c r="S15" s="24">
        <f t="shared" si="3"/>
        <v>5790.648748</v>
      </c>
      <c r="T15" s="24">
        <f t="shared" si="3"/>
        <v>3753.488288</v>
      </c>
      <c r="U15" s="24">
        <f t="shared" si="3"/>
        <v>4523</v>
      </c>
      <c r="V15" s="24">
        <f t="shared" si="3"/>
        <v>46019.042449</v>
      </c>
      <c r="W15" s="24">
        <f t="shared" si="3"/>
        <v>46019.042449</v>
      </c>
      <c r="X15" s="26">
        <f>V15/D15</f>
        <v>0.671588925101822</v>
      </c>
      <c r="Y15" s="26">
        <f>AC15/D15</f>
        <v>0.0424580617213874</v>
      </c>
      <c r="AB15" s="33"/>
      <c r="AC15" s="34">
        <f>SUM(AC8:AC14)</f>
        <v>2909.33824491307</v>
      </c>
    </row>
    <row r="24" spans="7:7">
      <c r="G24" s="27"/>
    </row>
  </sheetData>
  <mergeCells count="18">
    <mergeCell ref="A2:Y2"/>
    <mergeCell ref="F4:Q4"/>
    <mergeCell ref="R4:Y4"/>
    <mergeCell ref="F5:I5"/>
    <mergeCell ref="J5:M5"/>
    <mergeCell ref="N5:Q5"/>
    <mergeCell ref="R5:W5"/>
    <mergeCell ref="F9:I9"/>
    <mergeCell ref="J9:M9"/>
    <mergeCell ref="F10:M10"/>
    <mergeCell ref="F11:Q11"/>
    <mergeCell ref="A4:A6"/>
    <mergeCell ref="B4:B6"/>
    <mergeCell ref="C4:C6"/>
    <mergeCell ref="D4:D6"/>
    <mergeCell ref="E4:E6"/>
    <mergeCell ref="X5:X6"/>
    <mergeCell ref="Y5:Y6"/>
  </mergeCells>
  <pageMargins left="0.393055555555556" right="0.393055555555556" top="1" bottom="1" header="0.511805555555556" footer="0.511805555555556"/>
  <pageSetup paperSize="9" scale="60" orientation="landscape" blackAndWhite="1"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
  <sheetViews>
    <sheetView workbookViewId="0">
      <selection activeCell="L30" sqref="L30:L31"/>
    </sheetView>
  </sheetViews>
  <sheetFormatPr defaultColWidth="9" defaultRowHeight="13.5"/>
  <cols>
    <col min="1" max="1" width="4" style="35" customWidth="1"/>
    <col min="2" max="2" width="15.25" style="35" customWidth="1"/>
    <col min="3" max="5" width="10.375" style="35" customWidth="1"/>
    <col min="6" max="6" width="10.75" style="38" customWidth="1"/>
    <col min="7" max="7" width="13.25" style="35" customWidth="1"/>
    <col min="8" max="8" width="10.75" style="35" customWidth="1"/>
    <col min="9" max="9" width="8.875" style="35" customWidth="1"/>
    <col min="10" max="10" width="10.25" style="35" customWidth="1"/>
    <col min="11" max="11" width="10.75" style="38" customWidth="1"/>
    <col min="12" max="13" width="10.75" style="35" customWidth="1"/>
    <col min="14" max="14" width="10.625" style="35" customWidth="1"/>
    <col min="15" max="15" width="12.375" style="35" customWidth="1"/>
    <col min="16" max="16" width="9" style="35" hidden="1" customWidth="1"/>
    <col min="17" max="17" width="12.625" style="35"/>
    <col min="18" max="16384" width="9" style="35"/>
  </cols>
  <sheetData>
    <row r="1" customFormat="1" ht="25" customHeight="1" spans="1:1">
      <c r="A1" t="s">
        <v>0</v>
      </c>
    </row>
    <row r="2" s="35" customFormat="1" ht="30" customHeight="1" spans="1:15">
      <c r="A2" s="39" t="s">
        <v>66</v>
      </c>
      <c r="B2" s="39"/>
      <c r="C2" s="39"/>
      <c r="D2" s="39"/>
      <c r="E2" s="39"/>
      <c r="F2" s="39"/>
      <c r="G2" s="39"/>
      <c r="H2" s="39"/>
      <c r="I2" s="39"/>
      <c r="J2" s="39"/>
      <c r="K2" s="39"/>
      <c r="L2" s="39"/>
      <c r="M2" s="39"/>
      <c r="N2" s="39"/>
      <c r="O2" s="39"/>
    </row>
    <row r="3" s="35" customFormat="1" spans="6:14">
      <c r="F3" s="38"/>
      <c r="N3" s="38" t="s">
        <v>2</v>
      </c>
    </row>
    <row r="4" s="36" customFormat="1" spans="1:15">
      <c r="A4" s="30" t="s">
        <v>3</v>
      </c>
      <c r="B4" s="30" t="s">
        <v>4</v>
      </c>
      <c r="C4" s="40" t="s">
        <v>5</v>
      </c>
      <c r="D4" s="41"/>
      <c r="E4" s="42"/>
      <c r="F4" s="43" t="s">
        <v>6</v>
      </c>
      <c r="G4" s="44"/>
      <c r="H4" s="44"/>
      <c r="I4" s="44"/>
      <c r="J4" s="44"/>
      <c r="K4" s="43"/>
      <c r="L4" s="44"/>
      <c r="M4" s="44"/>
      <c r="N4" s="44"/>
      <c r="O4" s="44"/>
    </row>
    <row r="5" s="37" customFormat="1" spans="1:15">
      <c r="A5" s="30"/>
      <c r="B5" s="30"/>
      <c r="C5" s="45" t="s">
        <v>7</v>
      </c>
      <c r="D5" s="45" t="s">
        <v>8</v>
      </c>
      <c r="E5" s="46"/>
      <c r="F5" s="47" t="s">
        <v>9</v>
      </c>
      <c r="G5" s="30"/>
      <c r="H5" s="30"/>
      <c r="I5" s="30"/>
      <c r="J5" s="30"/>
      <c r="K5" s="53" t="s">
        <v>10</v>
      </c>
      <c r="L5" s="30"/>
      <c r="M5" s="30"/>
      <c r="N5" s="30"/>
      <c r="O5" s="30"/>
    </row>
    <row r="6" s="37" customFormat="1" ht="39" customHeight="1" spans="1:16">
      <c r="A6" s="30"/>
      <c r="B6" s="30"/>
      <c r="C6" s="48"/>
      <c r="D6" s="48"/>
      <c r="E6" s="49" t="s">
        <v>11</v>
      </c>
      <c r="F6" s="47" t="s">
        <v>12</v>
      </c>
      <c r="G6" s="30" t="s">
        <v>13</v>
      </c>
      <c r="H6" s="30" t="s">
        <v>14</v>
      </c>
      <c r="I6" s="30" t="s">
        <v>15</v>
      </c>
      <c r="J6" s="30" t="s">
        <v>16</v>
      </c>
      <c r="K6" s="53" t="s">
        <v>12</v>
      </c>
      <c r="L6" s="30" t="s">
        <v>13</v>
      </c>
      <c r="M6" s="30" t="s">
        <v>14</v>
      </c>
      <c r="N6" s="30" t="s">
        <v>15</v>
      </c>
      <c r="O6" s="30" t="s">
        <v>16</v>
      </c>
      <c r="P6" s="37" t="s">
        <v>25</v>
      </c>
    </row>
    <row r="7" s="37" customFormat="1" ht="25" customHeight="1" spans="1:17">
      <c r="A7" s="50">
        <v>9</v>
      </c>
      <c r="B7" s="50" t="s">
        <v>67</v>
      </c>
      <c r="C7" s="51">
        <v>288632.29</v>
      </c>
      <c r="D7" s="51">
        <v>269719.92</v>
      </c>
      <c r="E7" s="51">
        <v>144566.78</v>
      </c>
      <c r="F7" s="51">
        <v>136000</v>
      </c>
      <c r="G7" s="51">
        <v>45673.33</v>
      </c>
      <c r="H7" s="51">
        <v>37182.12</v>
      </c>
      <c r="I7" s="54">
        <v>0.335833308823529</v>
      </c>
      <c r="J7" s="54">
        <v>0.22836809735432</v>
      </c>
      <c r="K7" s="51">
        <v>77000</v>
      </c>
      <c r="L7" s="51">
        <v>28953.21</v>
      </c>
      <c r="M7" s="51">
        <v>25481.48</v>
      </c>
      <c r="N7" s="54">
        <v>0.376015714285714</v>
      </c>
      <c r="O7" s="54">
        <v>0.13624522594449</v>
      </c>
      <c r="P7" s="37" t="s">
        <v>68</v>
      </c>
      <c r="Q7" s="56">
        <f>1-D7/C7</f>
        <v>0.065524096420397</v>
      </c>
    </row>
    <row r="8" s="37" customFormat="1" ht="25" customHeight="1" spans="1:17">
      <c r="A8" s="50">
        <v>10</v>
      </c>
      <c r="B8" s="50" t="s">
        <v>69</v>
      </c>
      <c r="C8" s="51">
        <v>2462924.1</v>
      </c>
      <c r="D8" s="51">
        <v>809478.77</v>
      </c>
      <c r="E8" s="51">
        <v>438678.07</v>
      </c>
      <c r="F8" s="51">
        <v>817712</v>
      </c>
      <c r="G8" s="51">
        <v>289279.21</v>
      </c>
      <c r="H8" s="51">
        <v>238166.57</v>
      </c>
      <c r="I8" s="54">
        <v>0.353766619543311</v>
      </c>
      <c r="J8" s="54">
        <v>0.214608792493422</v>
      </c>
      <c r="K8" s="51">
        <v>148000</v>
      </c>
      <c r="L8" s="51">
        <v>47940.05</v>
      </c>
      <c r="M8" s="51">
        <v>66488.17</v>
      </c>
      <c r="N8" s="54">
        <v>0.323919256756757</v>
      </c>
      <c r="O8" s="54">
        <v>-0.278968724812248</v>
      </c>
      <c r="P8" s="37" t="s">
        <v>68</v>
      </c>
      <c r="Q8" s="56">
        <f>1-D8/C8</f>
        <v>0.671334260767516</v>
      </c>
    </row>
    <row r="9" s="37" customFormat="1" ht="25" customHeight="1" spans="1:17">
      <c r="A9" s="50">
        <v>11</v>
      </c>
      <c r="B9" s="50" t="s">
        <v>70</v>
      </c>
      <c r="C9" s="51">
        <v>8113339.55</v>
      </c>
      <c r="D9" s="51">
        <v>378525.91</v>
      </c>
      <c r="E9" s="51">
        <v>-125089.31</v>
      </c>
      <c r="F9" s="51">
        <v>1732500</v>
      </c>
      <c r="G9" s="51">
        <v>690680.31</v>
      </c>
      <c r="H9" s="51">
        <v>603298.26</v>
      </c>
      <c r="I9" s="54">
        <v>0.398661073593074</v>
      </c>
      <c r="J9" s="54">
        <v>0.144840547028927</v>
      </c>
      <c r="K9" s="51">
        <v>36300</v>
      </c>
      <c r="L9" s="51">
        <v>-108691.92</v>
      </c>
      <c r="M9" s="51">
        <v>-12855.21</v>
      </c>
      <c r="N9" s="54">
        <v>-2.99426776859504</v>
      </c>
      <c r="O9" s="54">
        <v>7.45508708142457</v>
      </c>
      <c r="Q9" s="56">
        <f>1-D9/C9</f>
        <v>0.953345239938836</v>
      </c>
    </row>
    <row r="10" s="37" customFormat="1" ht="25" customHeight="1" spans="1:17">
      <c r="A10" s="50"/>
      <c r="B10" s="50" t="s">
        <v>23</v>
      </c>
      <c r="C10" s="51">
        <f t="shared" ref="C10:H10" si="0">SUM(C7:C9)</f>
        <v>10864895.94</v>
      </c>
      <c r="D10" s="51">
        <f t="shared" si="0"/>
        <v>1457724.6</v>
      </c>
      <c r="E10" s="51">
        <f t="shared" si="0"/>
        <v>458155.54</v>
      </c>
      <c r="F10" s="51">
        <f t="shared" si="0"/>
        <v>2686212</v>
      </c>
      <c r="G10" s="51">
        <f t="shared" si="0"/>
        <v>1025632.85</v>
      </c>
      <c r="H10" s="51">
        <f t="shared" si="0"/>
        <v>878646.95</v>
      </c>
      <c r="I10" s="54">
        <f>G10/F10</f>
        <v>0.381813814397374</v>
      </c>
      <c r="J10" s="54">
        <f>(G10-H10)/H10</f>
        <v>0.167286644539084</v>
      </c>
      <c r="K10" s="51">
        <f>SUM(K7:K9)</f>
        <v>261300</v>
      </c>
      <c r="L10" s="51">
        <f>SUM(L7:L9)</f>
        <v>-31798.66</v>
      </c>
      <c r="M10" s="51">
        <f>SUM(M7:M9)</f>
        <v>79114.44</v>
      </c>
      <c r="N10" s="54">
        <f>L10/K10</f>
        <v>-0.121694068120934</v>
      </c>
      <c r="O10" s="54">
        <f>(L10-M10)/M10</f>
        <v>-1.40193244115739</v>
      </c>
      <c r="Q10" s="56">
        <f>1-D10/C10</f>
        <v>0.865831701651806</v>
      </c>
    </row>
    <row r="11" s="37" customFormat="1"/>
    <row r="12" s="35" customFormat="1" spans="6:11">
      <c r="F12" s="38"/>
      <c r="K12" s="38"/>
    </row>
    <row r="13" s="35" customFormat="1" ht="20.25" spans="6:11">
      <c r="F13" s="38"/>
      <c r="G13" s="52"/>
      <c r="K13" s="38"/>
    </row>
    <row r="14" s="35" customFormat="1" spans="6:13">
      <c r="F14" s="38"/>
      <c r="K14" s="38"/>
      <c r="M14" s="55"/>
    </row>
  </sheetData>
  <mergeCells count="9">
    <mergeCell ref="A2:O2"/>
    <mergeCell ref="C4:E4"/>
    <mergeCell ref="F4:O4"/>
    <mergeCell ref="F5:J5"/>
    <mergeCell ref="K5:O5"/>
    <mergeCell ref="A4:A6"/>
    <mergeCell ref="B4:B6"/>
    <mergeCell ref="C5:C6"/>
    <mergeCell ref="D5:D6"/>
  </mergeCell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9"/>
  <sheetViews>
    <sheetView workbookViewId="0">
      <selection activeCell="G17" sqref="G17"/>
    </sheetView>
  </sheetViews>
  <sheetFormatPr defaultColWidth="9" defaultRowHeight="13.5"/>
  <cols>
    <col min="1" max="1" width="5.375" customWidth="1"/>
    <col min="2" max="2" width="14.625" customWidth="1"/>
    <col min="3" max="3" width="11.25" customWidth="1"/>
    <col min="4" max="4" width="9.875" customWidth="1"/>
    <col min="5" max="5" width="9.25" customWidth="1"/>
    <col min="6" max="6" width="10.375" customWidth="1"/>
    <col min="7" max="9" width="9.375" customWidth="1"/>
    <col min="10" max="10" width="10.75" customWidth="1"/>
    <col min="11" max="13" width="9.375" customWidth="1"/>
    <col min="14" max="14" width="9.75" customWidth="1"/>
    <col min="15" max="17" width="9.375" customWidth="1"/>
    <col min="18" max="20" width="8" customWidth="1"/>
    <col min="21" max="21" width="8.125" customWidth="1"/>
    <col min="22" max="23" width="8.625" customWidth="1"/>
    <col min="24" max="24" width="9.5"/>
    <col min="26" max="26" width="10.375" hidden="1" customWidth="1"/>
    <col min="27" max="27" width="6.375" hidden="1" customWidth="1"/>
    <col min="28" max="28" width="5.375" style="3" hidden="1" customWidth="1"/>
    <col min="29" max="29" width="8.375" hidden="1" customWidth="1"/>
  </cols>
  <sheetData>
    <row r="1" customFormat="1" ht="25" customHeight="1" spans="1:1">
      <c r="A1" t="s">
        <v>71</v>
      </c>
    </row>
    <row r="2" ht="29" customHeight="1" spans="1:25">
      <c r="A2" s="4" t="s">
        <v>72</v>
      </c>
      <c r="B2" s="4"/>
      <c r="C2" s="4"/>
      <c r="D2" s="4"/>
      <c r="E2" s="4"/>
      <c r="F2" s="4"/>
      <c r="G2" s="4"/>
      <c r="H2" s="4"/>
      <c r="I2" s="4"/>
      <c r="J2" s="4"/>
      <c r="K2" s="4"/>
      <c r="L2" s="4"/>
      <c r="M2" s="4"/>
      <c r="N2" s="4"/>
      <c r="O2" s="4"/>
      <c r="P2" s="4"/>
      <c r="Q2" s="4"/>
      <c r="R2" s="4"/>
      <c r="S2" s="4"/>
      <c r="T2" s="4"/>
      <c r="U2" s="4"/>
      <c r="V2" s="4"/>
      <c r="W2" s="4"/>
      <c r="X2" s="4"/>
      <c r="Y2" s="4"/>
    </row>
    <row r="3" spans="17:17">
      <c r="Q3" t="s">
        <v>2</v>
      </c>
    </row>
    <row r="4" s="1" customFormat="1" ht="20" customHeight="1" spans="1:28">
      <c r="A4" s="5" t="s">
        <v>3</v>
      </c>
      <c r="B4" s="6" t="s">
        <v>4</v>
      </c>
      <c r="C4" s="5" t="s">
        <v>38</v>
      </c>
      <c r="D4" s="5" t="s">
        <v>39</v>
      </c>
      <c r="E4" s="7" t="s">
        <v>40</v>
      </c>
      <c r="F4" s="8" t="s">
        <v>41</v>
      </c>
      <c r="G4" s="9"/>
      <c r="H4" s="9"/>
      <c r="I4" s="9"/>
      <c r="J4" s="9"/>
      <c r="K4" s="9"/>
      <c r="L4" s="9"/>
      <c r="M4" s="9"/>
      <c r="N4" s="9"/>
      <c r="O4" s="9"/>
      <c r="P4" s="9"/>
      <c r="Q4" s="28"/>
      <c r="R4" s="30" t="s">
        <v>42</v>
      </c>
      <c r="S4" s="30"/>
      <c r="T4" s="30"/>
      <c r="U4" s="30"/>
      <c r="V4" s="30"/>
      <c r="W4" s="30"/>
      <c r="X4" s="30"/>
      <c r="Y4" s="30"/>
      <c r="AB4" s="31"/>
    </row>
    <row r="5" s="1" customFormat="1" ht="20" customHeight="1" spans="1:28">
      <c r="A5" s="5"/>
      <c r="B5" s="10"/>
      <c r="C5" s="5"/>
      <c r="D5" s="5"/>
      <c r="E5" s="11"/>
      <c r="F5" s="8" t="s">
        <v>43</v>
      </c>
      <c r="G5" s="9"/>
      <c r="H5" s="9"/>
      <c r="I5" s="28"/>
      <c r="J5" s="8" t="s">
        <v>44</v>
      </c>
      <c r="K5" s="9"/>
      <c r="L5" s="9"/>
      <c r="M5" s="28"/>
      <c r="N5" s="8" t="s">
        <v>45</v>
      </c>
      <c r="O5" s="9"/>
      <c r="P5" s="9"/>
      <c r="Q5" s="28"/>
      <c r="R5" s="30" t="s">
        <v>46</v>
      </c>
      <c r="S5" s="30"/>
      <c r="T5" s="30"/>
      <c r="U5" s="30"/>
      <c r="V5" s="30"/>
      <c r="W5" s="30"/>
      <c r="X5" s="30" t="s">
        <v>47</v>
      </c>
      <c r="Y5" s="30" t="s">
        <v>48</v>
      </c>
      <c r="AB5" s="31"/>
    </row>
    <row r="6" s="1" customFormat="1" ht="33" customHeight="1" spans="1:28">
      <c r="A6" s="5"/>
      <c r="B6" s="12"/>
      <c r="C6" s="5"/>
      <c r="D6" s="5"/>
      <c r="E6" s="13"/>
      <c r="F6" s="5" t="s">
        <v>49</v>
      </c>
      <c r="G6" s="5" t="s">
        <v>10</v>
      </c>
      <c r="H6" s="14" t="s">
        <v>50</v>
      </c>
      <c r="I6" s="14" t="s">
        <v>51</v>
      </c>
      <c r="J6" s="5" t="s">
        <v>49</v>
      </c>
      <c r="K6" s="5" t="s">
        <v>10</v>
      </c>
      <c r="L6" s="14" t="s">
        <v>50</v>
      </c>
      <c r="M6" s="14" t="s">
        <v>51</v>
      </c>
      <c r="N6" s="5" t="s">
        <v>49</v>
      </c>
      <c r="O6" s="5" t="s">
        <v>10</v>
      </c>
      <c r="P6" s="14" t="s">
        <v>50</v>
      </c>
      <c r="Q6" s="14" t="s">
        <v>51</v>
      </c>
      <c r="R6" s="30" t="s">
        <v>52</v>
      </c>
      <c r="S6" s="30" t="s">
        <v>43</v>
      </c>
      <c r="T6" s="30" t="s">
        <v>44</v>
      </c>
      <c r="U6" s="30" t="s">
        <v>45</v>
      </c>
      <c r="V6" s="30" t="s">
        <v>53</v>
      </c>
      <c r="W6" s="30" t="s">
        <v>54</v>
      </c>
      <c r="X6" s="30"/>
      <c r="Y6" s="30"/>
      <c r="AB6" s="31"/>
    </row>
    <row r="7" ht="25" customHeight="1" spans="1:29">
      <c r="A7" s="15">
        <v>9</v>
      </c>
      <c r="B7" s="16" t="s">
        <v>67</v>
      </c>
      <c r="C7" s="17">
        <v>37046</v>
      </c>
      <c r="D7" s="18">
        <v>800</v>
      </c>
      <c r="E7" s="19">
        <v>0.0349</v>
      </c>
      <c r="F7" s="18">
        <v>115514.085433</v>
      </c>
      <c r="G7" s="18">
        <v>64910.759352</v>
      </c>
      <c r="H7" s="20">
        <f>G7/F7</f>
        <v>0.561929388166686</v>
      </c>
      <c r="I7" s="29">
        <v>0.298195493722471</v>
      </c>
      <c r="J7" s="18">
        <v>125518.832236</v>
      </c>
      <c r="K7" s="18">
        <v>71029.044278</v>
      </c>
      <c r="L7" s="20">
        <f>K7/J7</f>
        <v>0.565883565140659</v>
      </c>
      <c r="M7" s="29">
        <v>0.269054078312293</v>
      </c>
      <c r="N7" s="18">
        <v>129253.033303</v>
      </c>
      <c r="O7" s="18">
        <v>74030.37651</v>
      </c>
      <c r="P7" s="20">
        <f>O7/N7</f>
        <v>0.572755428775548</v>
      </c>
      <c r="Q7" s="29">
        <v>0.234907094715072</v>
      </c>
      <c r="R7" s="18">
        <v>983.48</v>
      </c>
      <c r="S7" s="18">
        <v>1238.25</v>
      </c>
      <c r="T7" s="18">
        <v>171</v>
      </c>
      <c r="U7" s="18">
        <v>951</v>
      </c>
      <c r="V7" s="18">
        <f>7050+951</f>
        <v>8001</v>
      </c>
      <c r="W7" s="18">
        <f>7050+951</f>
        <v>8001</v>
      </c>
      <c r="X7" s="20">
        <f>V7/D7</f>
        <v>10.00125</v>
      </c>
      <c r="Y7" s="20">
        <f>X7/AB7</f>
        <v>0.491776404418699</v>
      </c>
      <c r="Z7" s="32">
        <v>44469</v>
      </c>
      <c r="AA7">
        <f>Z7-C7</f>
        <v>7423</v>
      </c>
      <c r="AB7" s="3">
        <f>AA7/365</f>
        <v>20.3369863013699</v>
      </c>
      <c r="AC7" s="3">
        <f>V7/AB7</f>
        <v>393.421123534959</v>
      </c>
    </row>
    <row r="8" ht="25" customHeight="1" spans="1:29">
      <c r="A8" s="15">
        <v>10</v>
      </c>
      <c r="B8" s="16" t="s">
        <v>69</v>
      </c>
      <c r="C8" s="17">
        <v>39651</v>
      </c>
      <c r="D8" s="18">
        <v>9300</v>
      </c>
      <c r="E8" s="19">
        <v>0.03</v>
      </c>
      <c r="F8" s="18">
        <v>737537.994331</v>
      </c>
      <c r="G8" s="18">
        <v>175255.91052</v>
      </c>
      <c r="H8" s="20">
        <f>G8/F8</f>
        <v>0.237622891114877</v>
      </c>
      <c r="I8" s="29">
        <v>0.282921620567157</v>
      </c>
      <c r="J8" s="18">
        <v>803941.31664</v>
      </c>
      <c r="K8" s="18">
        <v>138024.089605</v>
      </c>
      <c r="L8" s="20">
        <f>K8/J8</f>
        <v>0.171684284347842</v>
      </c>
      <c r="M8" s="29">
        <v>0.160897617730442</v>
      </c>
      <c r="N8" s="18">
        <v>897989.987754</v>
      </c>
      <c r="O8" s="18">
        <v>143850.738738</v>
      </c>
      <c r="P8" s="20">
        <f>O8/N8</f>
        <v>0.160191918283845</v>
      </c>
      <c r="Q8" s="29">
        <v>0.139107223071013</v>
      </c>
      <c r="R8" s="18"/>
      <c r="S8" s="18">
        <v>104.25</v>
      </c>
      <c r="T8" s="18">
        <v>278.85</v>
      </c>
      <c r="U8" s="18">
        <v>342.9</v>
      </c>
      <c r="V8" s="18">
        <v>1184.22</v>
      </c>
      <c r="W8" s="18">
        <v>1184.22</v>
      </c>
      <c r="X8" s="20">
        <f>V8/D8</f>
        <v>0.127335483870968</v>
      </c>
      <c r="Y8" s="20">
        <f>X8/AB8</f>
        <v>0.0096466275659824</v>
      </c>
      <c r="Z8" s="32">
        <v>44469</v>
      </c>
      <c r="AA8">
        <f>Z8-C8</f>
        <v>4818</v>
      </c>
      <c r="AB8" s="3">
        <f>AA8/365</f>
        <v>13.2</v>
      </c>
      <c r="AC8" s="3">
        <f>V8/AB8</f>
        <v>89.7136363636364</v>
      </c>
    </row>
    <row r="9" ht="25" customHeight="1" spans="1:29">
      <c r="A9" s="15">
        <v>11</v>
      </c>
      <c r="B9" s="16" t="s">
        <v>70</v>
      </c>
      <c r="C9" s="17">
        <v>39226</v>
      </c>
      <c r="D9" s="18">
        <v>9612</v>
      </c>
      <c r="E9" s="19">
        <v>0.02403</v>
      </c>
      <c r="F9" s="18">
        <v>1127953.379362</v>
      </c>
      <c r="G9" s="18">
        <v>22013.756808</v>
      </c>
      <c r="H9" s="20">
        <f>G9/F9</f>
        <v>0.0195165484768985</v>
      </c>
      <c r="I9" s="29">
        <v>0.103994904458599</v>
      </c>
      <c r="J9" s="18">
        <v>1712393.669315</v>
      </c>
      <c r="K9" s="18">
        <v>30482.948949</v>
      </c>
      <c r="L9" s="20">
        <f>K9/J9</f>
        <v>0.0178013674631219</v>
      </c>
      <c r="M9" s="29">
        <v>0.0670316600320407</v>
      </c>
      <c r="N9" s="18">
        <v>1773469.888237</v>
      </c>
      <c r="O9" s="18">
        <v>33070.399004</v>
      </c>
      <c r="P9" s="20">
        <f>O9/N9</f>
        <v>0.0186472853152726</v>
      </c>
      <c r="Q9" s="29">
        <v>0.063217619813272</v>
      </c>
      <c r="R9" s="18">
        <v>0</v>
      </c>
      <c r="S9" s="18">
        <v>0</v>
      </c>
      <c r="T9" s="18">
        <v>0</v>
      </c>
      <c r="U9" s="18"/>
      <c r="V9" s="18">
        <v>0</v>
      </c>
      <c r="W9" s="18">
        <v>0</v>
      </c>
      <c r="X9" s="20">
        <f>V9/D9</f>
        <v>0</v>
      </c>
      <c r="Y9" s="20">
        <f>X9/AB9</f>
        <v>0</v>
      </c>
      <c r="Z9" s="32">
        <v>44469</v>
      </c>
      <c r="AA9">
        <f>Z9-C9</f>
        <v>5243</v>
      </c>
      <c r="AB9" s="3">
        <f>AA9/365</f>
        <v>14.3643835616438</v>
      </c>
      <c r="AC9" s="3">
        <f>V9/AB9</f>
        <v>0</v>
      </c>
    </row>
    <row r="10" s="2" customFormat="1" ht="25" customHeight="1" spans="1:29">
      <c r="A10" s="21"/>
      <c r="B10" s="22" t="s">
        <v>23</v>
      </c>
      <c r="C10" s="23"/>
      <c r="D10" s="24">
        <f>SUM(D7:D9)</f>
        <v>19712</v>
      </c>
      <c r="E10" s="25"/>
      <c r="F10" s="24">
        <f>SUM(F7:F9)</f>
        <v>1981005.459126</v>
      </c>
      <c r="G10" s="24">
        <f>SUM(G7:G9)</f>
        <v>262180.42668</v>
      </c>
      <c r="H10" s="26">
        <f>G10/F10</f>
        <v>0.132347150015261</v>
      </c>
      <c r="I10" s="24"/>
      <c r="J10" s="24">
        <f>SUM(J7:J9)</f>
        <v>2641853.818191</v>
      </c>
      <c r="K10" s="24">
        <f>SUM(K7:K9)</f>
        <v>239536.082832</v>
      </c>
      <c r="L10" s="26">
        <f>K10/J10</f>
        <v>0.0906696960984849</v>
      </c>
      <c r="M10" s="24"/>
      <c r="N10" s="24">
        <f>SUM(N7:N9)</f>
        <v>2800712.909294</v>
      </c>
      <c r="O10" s="24">
        <f>SUM(O7:O9)</f>
        <v>250951.514252</v>
      </c>
      <c r="P10" s="26">
        <f>O10/N10</f>
        <v>0.0896027270125518</v>
      </c>
      <c r="Q10" s="24"/>
      <c r="R10" s="24">
        <f t="shared" ref="R10:W10" si="0">SUM(R7:R9)</f>
        <v>983.48</v>
      </c>
      <c r="S10" s="24">
        <f t="shared" si="0"/>
        <v>1342.5</v>
      </c>
      <c r="T10" s="24">
        <f t="shared" si="0"/>
        <v>449.85</v>
      </c>
      <c r="U10" s="24">
        <f t="shared" si="0"/>
        <v>1293.9</v>
      </c>
      <c r="V10" s="24">
        <f t="shared" si="0"/>
        <v>9185.22</v>
      </c>
      <c r="W10" s="24">
        <f t="shared" si="0"/>
        <v>9185.22</v>
      </c>
      <c r="X10" s="26">
        <f>V10/D10</f>
        <v>0.465970982142857</v>
      </c>
      <c r="Y10" s="26">
        <f>AC10/D10</f>
        <v>0.0245096773487518</v>
      </c>
      <c r="AB10" s="33"/>
      <c r="AC10" s="34">
        <f>SUM(AC7:AC9)</f>
        <v>483.134759898595</v>
      </c>
    </row>
    <row r="19" spans="7:7">
      <c r="G19" s="27"/>
    </row>
  </sheetData>
  <mergeCells count="14">
    <mergeCell ref="A2:Y2"/>
    <mergeCell ref="F4:Q4"/>
    <mergeCell ref="R4:Y4"/>
    <mergeCell ref="F5:I5"/>
    <mergeCell ref="J5:M5"/>
    <mergeCell ref="N5:Q5"/>
    <mergeCell ref="R5:W5"/>
    <mergeCell ref="A4:A6"/>
    <mergeCell ref="B4:B6"/>
    <mergeCell ref="C4:C6"/>
    <mergeCell ref="D4:D6"/>
    <mergeCell ref="E4:E6"/>
    <mergeCell ref="X5:X6"/>
    <mergeCell ref="Y5:Y6"/>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2022年一季度6户控股及实际管理</vt:lpstr>
      <vt:lpstr>2022年一季度8户参股企业</vt:lpstr>
      <vt:lpstr>近三年效益6户控股及实际管理企业</vt:lpstr>
      <vt:lpstr>近三年效益8户参股企业</vt:lpstr>
      <vt:lpstr>英大三家财务经营情况表</vt:lpstr>
      <vt:lpstr>英大三家近三年经营效益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林小梅</dc:creator>
  <cp:lastModifiedBy>林小梅</cp:lastModifiedBy>
  <dcterms:created xsi:type="dcterms:W3CDTF">2021-10-26T07:48:00Z</dcterms:created>
  <dcterms:modified xsi:type="dcterms:W3CDTF">2022-04-21T00:41:57Z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y fmtid="{D5CDD505-2E9C-101B-9397-08002B2CF9AE}" pid="3" name="KSOReadingLayout">
    <vt:bool>false</vt:bool>
  </property>
</Properties>
</file>