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Área de Trabalho/senac/1 Semestre/Empreendorismo/"/>
    </mc:Choice>
  </mc:AlternateContent>
  <xr:revisionPtr revIDLastSave="525" documentId="8_{0687017B-2F9E-4C41-A79E-487235FFDC15}" xr6:coauthVersionLast="47" xr6:coauthVersionMax="47" xr10:uidLastSave="{B3E5D1F0-20B0-4624-BB7F-168AE05A16FF}"/>
  <bookViews>
    <workbookView xWindow="-120" yWindow="-120" windowWidth="20730" windowHeight="11040" activeTab="2" xr2:uid="{395E83AA-4F8C-4D70-8EBD-2199E01DDB56}"/>
  </bookViews>
  <sheets>
    <sheet name="Planilha1" sheetId="1" r:id="rId1"/>
    <sheet name="PRICE-SFA" sheetId="4" r:id="rId2"/>
    <sheet name="PRINCIPAL" sheetId="2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26" i="2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C4" i="4"/>
  <c r="B27" i="2"/>
  <c r="B28" i="2"/>
  <c r="G28" i="2" s="1"/>
  <c r="B29" i="2"/>
  <c r="G29" i="2" s="1"/>
  <c r="B30" i="2"/>
  <c r="G30" i="2" s="1"/>
  <c r="B31" i="2"/>
  <c r="G31" i="2" s="1"/>
  <c r="B32" i="2"/>
  <c r="G32" i="2" s="1"/>
  <c r="B33" i="2"/>
  <c r="G33" i="2" s="1"/>
  <c r="B34" i="2"/>
  <c r="G34" i="2" s="1"/>
  <c r="B35" i="2"/>
  <c r="G35" i="2" s="1"/>
  <c r="B36" i="2"/>
  <c r="G36" i="2" s="1"/>
  <c r="B37" i="2"/>
  <c r="G37" i="2" s="1"/>
  <c r="B38" i="2"/>
  <c r="G38" i="2" s="1"/>
  <c r="B39" i="2"/>
  <c r="G39" i="2" s="1"/>
  <c r="B40" i="2"/>
  <c r="G40" i="2" s="1"/>
  <c r="B41" i="2"/>
  <c r="G41" i="2" s="1"/>
  <c r="B42" i="2"/>
  <c r="G42" i="2" s="1"/>
  <c r="B43" i="2"/>
  <c r="G43" i="2" s="1"/>
  <c r="B44" i="2"/>
  <c r="G44" i="2" s="1"/>
  <c r="B45" i="2"/>
  <c r="G45" i="2" s="1"/>
  <c r="B46" i="2"/>
  <c r="G46" i="2" s="1"/>
  <c r="B47" i="2"/>
  <c r="G47" i="2" s="1"/>
  <c r="B48" i="2"/>
  <c r="G48" i="2" s="1"/>
  <c r="B49" i="2"/>
  <c r="G49" i="2" s="1"/>
  <c r="B50" i="2"/>
  <c r="G50" i="2" s="1"/>
  <c r="B51" i="2"/>
  <c r="G51" i="2" s="1"/>
  <c r="B52" i="2"/>
  <c r="G52" i="2" s="1"/>
  <c r="B53" i="2"/>
  <c r="G53" i="2" s="1"/>
  <c r="B54" i="2"/>
  <c r="G54" i="2" s="1"/>
  <c r="B55" i="2"/>
  <c r="G55" i="2" s="1"/>
  <c r="B56" i="2"/>
  <c r="G56" i="2" s="1"/>
  <c r="B57" i="2"/>
  <c r="G57" i="2" s="1"/>
  <c r="B58" i="2"/>
  <c r="G58" i="2" s="1"/>
  <c r="B59" i="2"/>
  <c r="G59" i="2" s="1"/>
  <c r="B60" i="2"/>
  <c r="G60" i="2" s="1"/>
  <c r="B61" i="2"/>
  <c r="G61" i="2" s="1"/>
  <c r="B62" i="2"/>
  <c r="G62" i="2" s="1"/>
  <c r="B63" i="2"/>
  <c r="G63" i="2" s="1"/>
  <c r="B64" i="2"/>
  <c r="G64" i="2" s="1"/>
  <c r="B65" i="2"/>
  <c r="G65" i="2" s="1"/>
  <c r="B66" i="2"/>
  <c r="G66" i="2" s="1"/>
  <c r="B67" i="2"/>
  <c r="G67" i="2" s="1"/>
  <c r="B68" i="2"/>
  <c r="G68" i="2" s="1"/>
  <c r="B69" i="2"/>
  <c r="G69" i="2" s="1"/>
  <c r="B70" i="2"/>
  <c r="G70" i="2" s="1"/>
  <c r="B71" i="2"/>
  <c r="G71" i="2" s="1"/>
  <c r="B72" i="2"/>
  <c r="G72" i="2" s="1"/>
  <c r="B73" i="2"/>
  <c r="G73" i="2" s="1"/>
  <c r="B74" i="2"/>
  <c r="G74" i="2" s="1"/>
  <c r="B75" i="2"/>
  <c r="G75" i="2" s="1"/>
  <c r="B76" i="2"/>
  <c r="G76" i="2" s="1"/>
  <c r="B77" i="2"/>
  <c r="G77" i="2" s="1"/>
  <c r="B78" i="2"/>
  <c r="G78" i="2" s="1"/>
  <c r="B79" i="2"/>
  <c r="G79" i="2" s="1"/>
  <c r="B80" i="2"/>
  <c r="G80" i="2" s="1"/>
  <c r="B81" i="2"/>
  <c r="G81" i="2" s="1"/>
  <c r="B82" i="2"/>
  <c r="G82" i="2" s="1"/>
  <c r="B83" i="2"/>
  <c r="G83" i="2" s="1"/>
  <c r="B84" i="2"/>
  <c r="G84" i="2" s="1"/>
  <c r="B85" i="2"/>
  <c r="G85" i="2" s="1"/>
  <c r="B86" i="2"/>
  <c r="G86" i="2" s="1"/>
  <c r="B87" i="2"/>
  <c r="G87" i="2" s="1"/>
  <c r="B88" i="2"/>
  <c r="G88" i="2" s="1"/>
  <c r="B89" i="2"/>
  <c r="G89" i="2" s="1"/>
  <c r="B90" i="2"/>
  <c r="G90" i="2" s="1"/>
  <c r="B91" i="2"/>
  <c r="G91" i="2" s="1"/>
  <c r="B92" i="2"/>
  <c r="G92" i="2" s="1"/>
  <c r="B93" i="2"/>
  <c r="G93" i="2" s="1"/>
  <c r="B94" i="2"/>
  <c r="G94" i="2" s="1"/>
  <c r="B95" i="2"/>
  <c r="G95" i="2" s="1"/>
  <c r="B96" i="2"/>
  <c r="G96" i="2" s="1"/>
  <c r="B97" i="2"/>
  <c r="G97" i="2" s="1"/>
  <c r="B26" i="2"/>
  <c r="H27" i="2" l="1"/>
  <c r="G27" i="2"/>
  <c r="H26" i="2"/>
  <c r="G26" i="2"/>
  <c r="E4" i="4"/>
  <c r="C25" i="2"/>
  <c r="H25" i="2" s="1"/>
  <c r="C20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P8" i="3"/>
  <c r="P7" i="3"/>
  <c r="H7" i="1"/>
  <c r="H8" i="1" s="1"/>
  <c r="H6" i="1"/>
  <c r="H5" i="1"/>
  <c r="J5" i="1" s="1"/>
  <c r="C5" i="4" l="1"/>
  <c r="C21" i="2"/>
  <c r="G25" i="2"/>
  <c r="C16" i="2" s="1"/>
  <c r="C17" i="2" s="1"/>
  <c r="J6" i="1"/>
  <c r="C15" i="2" l="1"/>
  <c r="E15" i="2" s="1" a="1"/>
  <c r="E15" i="2" s="1"/>
  <c r="C14" i="2"/>
  <c r="E14" i="2" s="1" a="1"/>
  <c r="E14" i="2" s="1"/>
  <c r="C18" i="2"/>
  <c r="E21" i="2" l="1"/>
  <c r="E16" i="2"/>
  <c r="C19" i="2"/>
  <c r="E19" i="2" s="1"/>
  <c r="E18" i="2"/>
  <c r="E5" i="4"/>
  <c r="E6" i="4" l="1"/>
  <c r="C6" i="4"/>
  <c r="E7" i="4" l="1"/>
  <c r="C7" i="4"/>
  <c r="E8" i="4" l="1"/>
  <c r="C8" i="4"/>
  <c r="E9" i="4" l="1"/>
  <c r="C9" i="4"/>
  <c r="E10" i="4" l="1"/>
  <c r="C10" i="4"/>
  <c r="E11" i="4" l="1"/>
  <c r="C11" i="4"/>
  <c r="E12" i="4" l="1"/>
  <c r="C12" i="4"/>
  <c r="E13" i="4" l="1"/>
  <c r="C13" i="4"/>
  <c r="E14" i="4" l="1"/>
  <c r="C14" i="4"/>
  <c r="E15" i="4" l="1"/>
  <c r="C15" i="4"/>
  <c r="E16" i="4" l="1"/>
  <c r="C16" i="4"/>
  <c r="E17" i="4" l="1"/>
  <c r="C17" i="4"/>
  <c r="E18" i="4" l="1"/>
  <c r="C18" i="4"/>
  <c r="E19" i="4" l="1"/>
  <c r="C19" i="4"/>
  <c r="E20" i="4" l="1"/>
  <c r="C20" i="4"/>
  <c r="E21" i="4" l="1"/>
  <c r="C21" i="4"/>
  <c r="E22" i="4" l="1"/>
  <c r="C22" i="4"/>
  <c r="E23" i="4" l="1"/>
  <c r="C23" i="4"/>
  <c r="E24" i="4" l="1"/>
  <c r="C24" i="4"/>
  <c r="E25" i="4" l="1"/>
  <c r="C25" i="4"/>
  <c r="E26" i="4" l="1"/>
  <c r="C26" i="4"/>
  <c r="E27" i="4" l="1"/>
  <c r="C27" i="4"/>
  <c r="E28" i="4" l="1"/>
  <c r="C28" i="4"/>
  <c r="E29" i="4" l="1"/>
  <c r="C29" i="4"/>
  <c r="E30" i="4" l="1"/>
  <c r="C30" i="4"/>
  <c r="E31" i="4" l="1"/>
  <c r="C31" i="4"/>
  <c r="E32" i="4" l="1"/>
  <c r="C32" i="4"/>
  <c r="E33" i="4" l="1"/>
  <c r="C33" i="4"/>
  <c r="E34" i="4" l="1"/>
  <c r="C34" i="4"/>
  <c r="E35" i="4" l="1"/>
  <c r="C35" i="4"/>
  <c r="E36" i="4" l="1"/>
  <c r="C36" i="4"/>
  <c r="E37" i="4" l="1"/>
  <c r="C37" i="4"/>
  <c r="E38" i="4" l="1"/>
  <c r="C38" i="4"/>
  <c r="E39" i="4" l="1"/>
  <c r="C39" i="4"/>
  <c r="E40" i="4" l="1"/>
  <c r="C40" i="4"/>
  <c r="E41" i="4" l="1"/>
  <c r="C41" i="4"/>
  <c r="E42" i="4" l="1"/>
  <c r="C42" i="4"/>
  <c r="E43" i="4" l="1"/>
  <c r="C43" i="4"/>
  <c r="E44" i="4" l="1"/>
  <c r="C44" i="4"/>
  <c r="E45" i="4" l="1"/>
  <c r="C45" i="4"/>
  <c r="E46" i="4" l="1"/>
  <c r="C46" i="4"/>
  <c r="E47" i="4" l="1"/>
  <c r="C47" i="4"/>
  <c r="E48" i="4" l="1"/>
  <c r="C48" i="4"/>
  <c r="E49" i="4" l="1"/>
  <c r="C49" i="4"/>
  <c r="E50" i="4" l="1"/>
  <c r="C50" i="4"/>
  <c r="E51" i="4" l="1"/>
  <c r="C51" i="4"/>
  <c r="E52" i="4" l="1"/>
  <c r="C52" i="4"/>
  <c r="E53" i="4" l="1"/>
  <c r="C53" i="4"/>
  <c r="E54" i="4" l="1"/>
  <c r="C54" i="4"/>
  <c r="E55" i="4" l="1"/>
  <c r="C55" i="4"/>
  <c r="E56" i="4" l="1"/>
  <c r="C56" i="4"/>
  <c r="E57" i="4" l="1"/>
  <c r="C57" i="4"/>
  <c r="E58" i="4" l="1"/>
  <c r="C58" i="4"/>
  <c r="E59" i="4" l="1"/>
  <c r="C59" i="4"/>
  <c r="E60" i="4" l="1"/>
  <c r="C60" i="4"/>
  <c r="E61" i="4" l="1"/>
  <c r="C61" i="4"/>
  <c r="E62" i="4" l="1"/>
  <c r="C62" i="4"/>
  <c r="E63" i="4" l="1"/>
  <c r="C63" i="4"/>
  <c r="E64" i="4" l="1"/>
  <c r="C64" i="4"/>
  <c r="E65" i="4" l="1"/>
  <c r="C65" i="4"/>
  <c r="E66" i="4" l="1"/>
  <c r="C66" i="4"/>
  <c r="E67" i="4" l="1"/>
  <c r="C67" i="4"/>
  <c r="E68" i="4" l="1"/>
  <c r="C68" i="4"/>
  <c r="E69" i="4" l="1"/>
  <c r="C69" i="4"/>
  <c r="E70" i="4" l="1"/>
  <c r="C70" i="4"/>
  <c r="E71" i="4" l="1"/>
  <c r="C71" i="4"/>
  <c r="E72" i="4" l="1"/>
  <c r="C72" i="4"/>
  <c r="E73" i="4" l="1"/>
  <c r="C73" i="4"/>
  <c r="E74" i="4" l="1"/>
  <c r="C74" i="4"/>
  <c r="E75" i="4" l="1"/>
  <c r="C75" i="4"/>
  <c r="G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<sst xmlns="http://schemas.openxmlformats.org/spreadsheetml/2006/main" count="50" uniqueCount="46">
  <si>
    <t>ANUAL</t>
  </si>
  <si>
    <t>MENSAL</t>
  </si>
  <si>
    <t>TIR</t>
  </si>
  <si>
    <t>MTIR</t>
  </si>
  <si>
    <t>XTIR.m</t>
  </si>
  <si>
    <t>XTIR.a</t>
  </si>
  <si>
    <t>INFORMAÇÕES PREELIMINARES</t>
  </si>
  <si>
    <t>MÉTODOS DE AVALIAÇÃO</t>
  </si>
  <si>
    <t>Investimento Inicial:</t>
  </si>
  <si>
    <t>Valor Residual</t>
  </si>
  <si>
    <t>TMA (a.m)</t>
  </si>
  <si>
    <t>Faturamento Mensal</t>
  </si>
  <si>
    <t>Tributos s/faturamento</t>
  </si>
  <si>
    <t>CMV</t>
  </si>
  <si>
    <t>Taxa de Reinvestimento a.m</t>
  </si>
  <si>
    <t>Taxa de Financiamento a.m</t>
  </si>
  <si>
    <t>TIR % a.m</t>
  </si>
  <si>
    <t>MTIR a.m</t>
  </si>
  <si>
    <t>VPL ($)</t>
  </si>
  <si>
    <t>VPLA</t>
  </si>
  <si>
    <t>TR ($ GLOBAL)</t>
  </si>
  <si>
    <t>PAYBACK TRADICIONAL</t>
  </si>
  <si>
    <t>PAYBACK DESCONTO</t>
  </si>
  <si>
    <t>Vida Útil (meses)</t>
  </si>
  <si>
    <t>CFT</t>
  </si>
  <si>
    <t>Exigência de Payback D &lt;/MESES</t>
  </si>
  <si>
    <t>SAIDAS</t>
  </si>
  <si>
    <t>FLUXO LIQUIDO</t>
  </si>
  <si>
    <t>ACUMULAR VP</t>
  </si>
  <si>
    <t>IDENTIFICAR ACUM &gt; 0</t>
  </si>
  <si>
    <t>CALCULAR VP</t>
  </si>
  <si>
    <t>a.m</t>
  </si>
  <si>
    <t>&gt;0</t>
  </si>
  <si>
    <t>Comparação</t>
  </si>
  <si>
    <t>&gt;1</t>
  </si>
  <si>
    <t>meses</t>
  </si>
  <si>
    <t>ENTRADAS BRUTAS</t>
  </si>
  <si>
    <t>t</t>
  </si>
  <si>
    <t>Benefícios/Custos (Global) IL</t>
  </si>
  <si>
    <t>SALDO</t>
  </si>
  <si>
    <t>JUROS</t>
  </si>
  <si>
    <t>AMORTIZAÇÃO</t>
  </si>
  <si>
    <t>PGTO</t>
  </si>
  <si>
    <t>IPGTO</t>
  </si>
  <si>
    <t>PPGTO</t>
  </si>
  <si>
    <t>PRESTAÇÃO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</si>
</sst>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"/>
    <numFmt numFmtId="165" formatCode="0.0%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9" fontId="2" fillId="0" borderId="0" xfId="0" applyNumberFormat="1" applyFont="1"/>
    <xf numFmtId="9" fontId="2" fillId="0" borderId="0" xfId="2" applyFont="1" applyFill="1"/>
    <xf numFmtId="164" fontId="2" fillId="0" borderId="0" xfId="0" applyNumberFormat="1" applyFont="1"/>
    <xf numFmtId="14" fontId="2" fillId="0" borderId="0" xfId="0" applyNumberFormat="1" applyFont="1"/>
    <xf numFmtId="8" fontId="2" fillId="0" borderId="0" xfId="0" applyNumberFormat="1" applyFont="1"/>
    <xf numFmtId="44" fontId="2" fillId="0" borderId="0" xfId="1" applyFont="1" applyFill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9" fontId="0" fillId="3" borderId="2" xfId="2" applyFont="1" applyFill="1" applyBorder="1"/>
    <xf numFmtId="10" fontId="0" fillId="3" borderId="2" xfId="2" applyNumberFormat="1" applyFont="1" applyFill="1" applyBorder="1"/>
    <xf numFmtId="4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Border="1"/>
    <xf numFmtId="8" fontId="0" fillId="0" borderId="1" xfId="1" applyNumberFormat="1" applyFont="1" applyBorder="1"/>
    <xf numFmtId="8" fontId="0" fillId="3" borderId="2" xfId="1" applyNumberFormat="1" applyFont="1" applyFill="1" applyBorder="1"/>
    <xf numFmtId="0" fontId="0" fillId="4" borderId="0" xfId="0" applyFill="1"/>
    <xf numFmtId="44" fontId="0" fillId="4" borderId="0" xfId="1" applyFont="1" applyFill="1"/>
    <xf numFmtId="166" fontId="0" fillId="3" borderId="2" xfId="2" applyNumberFormat="1" applyFont="1" applyFill="1" applyBorder="1"/>
    <xf numFmtId="0" fontId="0" fillId="5" borderId="0" xfId="0" applyFill="1"/>
    <xf numFmtId="164" fontId="0" fillId="3" borderId="2" xfId="1" applyNumberFormat="1" applyFont="1" applyFill="1" applyBorder="1"/>
    <xf numFmtId="164" fontId="0" fillId="3" borderId="2" xfId="0" applyNumberFormat="1" applyFill="1" applyBorder="1"/>
    <xf numFmtId="0" fontId="0" fillId="2" borderId="3" xfId="0" applyFill="1" applyBorder="1"/>
    <xf numFmtId="44" fontId="0" fillId="3" borderId="4" xfId="1" applyFont="1" applyFill="1" applyBorder="1"/>
    <xf numFmtId="44" fontId="0" fillId="3" borderId="5" xfId="1" applyFont="1" applyFill="1" applyBorder="1"/>
    <xf numFmtId="0" fontId="0" fillId="3" borderId="5" xfId="0" applyFill="1" applyBorder="1"/>
    <xf numFmtId="165" fontId="0" fillId="3" borderId="5" xfId="2" applyNumberFormat="1" applyFont="1" applyFill="1" applyBorder="1"/>
    <xf numFmtId="10" fontId="0" fillId="3" borderId="5" xfId="2" applyNumberFormat="1" applyFont="1" applyFill="1" applyBorder="1"/>
    <xf numFmtId="9" fontId="0" fillId="3" borderId="5" xfId="2" applyFont="1" applyFill="1" applyBorder="1"/>
    <xf numFmtId="9" fontId="0" fillId="3" borderId="6" xfId="2" applyFont="1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</cellXfs>
  <cellStyles count="3">
    <cellStyle name="Currency" xfId="1" builtinId="4"/>
    <cellStyle name="Normal" xfId="0" builtinId="0"/>
    <cellStyle name="Percent" xfId="2" builtinId="5"/>
  </cellStyles>
  <dxfs count="4">
    <dxf>
      <font>
        <color rgb="FFFF0000"/>
      </font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</xdr:colOff>
      <xdr:row>0</xdr:row>
      <xdr:rowOff>0</xdr:rowOff>
    </xdr:from>
    <xdr:to>
      <xdr:col>11</xdr:col>
      <xdr:colOff>5635</xdr:colOff>
      <xdr:row>21</xdr:row>
      <xdr:rowOff>47623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9F0414C-DA42-1E37-3B96-CFA12493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4305" y="0"/>
          <a:ext cx="8020924" cy="4071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12</xdr:col>
      <xdr:colOff>171450</xdr:colOff>
      <xdr:row>24</xdr:row>
      <xdr:rowOff>108850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FCB130-DC68-D82A-3079-A35D9950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7486650" cy="464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0817-3AC5-455D-8224-AEA5AC7BE1D1}">
  <dimension ref="C2:O16"/>
  <sheetViews>
    <sheetView workbookViewId="0">
      <selection activeCell="J5" sqref="J5"/>
    </sheetView>
  </sheetViews>
  <sheetFormatPr defaultRowHeight="15" x14ac:dyDescent="0.25"/>
  <cols>
    <col min="4" max="5" width="10.7109375" bestFit="1" customWidth="1"/>
    <col min="6" max="6" width="10.7109375" customWidth="1"/>
    <col min="8" max="8" width="9.5703125" bestFit="1" customWidth="1"/>
    <col min="10" max="10" width="14.28515625" bestFit="1" customWidth="1"/>
  </cols>
  <sheetData>
    <row r="2" spans="3:1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 x14ac:dyDescent="0.25">
      <c r="C3" s="1"/>
      <c r="D3" s="5">
        <v>44958</v>
      </c>
      <c r="E3" s="1">
        <v>-1000000</v>
      </c>
      <c r="F3" s="1"/>
      <c r="G3" s="1"/>
      <c r="H3" s="2"/>
      <c r="I3" s="1"/>
      <c r="J3" s="1"/>
      <c r="K3" s="1"/>
      <c r="L3" s="1"/>
      <c r="M3" s="1"/>
      <c r="N3" s="1"/>
      <c r="O3" s="1"/>
    </row>
    <row r="4" spans="3:15" x14ac:dyDescent="0.25">
      <c r="C4" s="1"/>
      <c r="D4" s="5">
        <v>44982</v>
      </c>
      <c r="E4" s="1">
        <v>400000</v>
      </c>
      <c r="F4" s="1"/>
      <c r="G4" s="3"/>
      <c r="H4" s="1"/>
      <c r="I4" s="1"/>
      <c r="J4" s="1"/>
      <c r="K4" s="1"/>
      <c r="L4" s="1"/>
      <c r="M4" s="1"/>
      <c r="N4" s="1"/>
      <c r="O4" s="1"/>
    </row>
    <row r="5" spans="3:15" x14ac:dyDescent="0.25">
      <c r="C5" s="1"/>
      <c r="D5" s="5">
        <v>45049</v>
      </c>
      <c r="E5" s="1">
        <v>300000</v>
      </c>
      <c r="F5" s="1"/>
      <c r="G5" s="3" t="s">
        <v>2</v>
      </c>
      <c r="H5" s="2">
        <f>IRR(E3:E7)</f>
        <v>0.17746029338946911</v>
      </c>
      <c r="I5" s="1"/>
      <c r="J5" s="6">
        <f>NPV(H5,E3:E7)</f>
        <v>1.433612815623165E-9</v>
      </c>
      <c r="K5" s="1"/>
      <c r="L5" s="1"/>
      <c r="M5" s="1"/>
      <c r="N5" s="1"/>
      <c r="O5" s="1"/>
    </row>
    <row r="6" spans="3:15" x14ac:dyDescent="0.25">
      <c r="C6" s="3"/>
      <c r="D6" s="5">
        <v>45054</v>
      </c>
      <c r="E6" s="1">
        <v>300000</v>
      </c>
      <c r="F6" s="1"/>
      <c r="G6" s="3" t="s">
        <v>3</v>
      </c>
      <c r="H6" s="2">
        <f>MIRR(E3:E7,18%,20%)</f>
        <v>0.18670187468576782</v>
      </c>
      <c r="I6" s="1"/>
      <c r="J6" s="7">
        <f>XNPV(H5,E3:E7,D3:D7)</f>
        <v>447543.18897834647</v>
      </c>
      <c r="K6" s="1"/>
      <c r="L6" s="1"/>
      <c r="M6" s="1"/>
      <c r="N6" s="1"/>
      <c r="O6" s="1"/>
    </row>
    <row r="7" spans="3:15" x14ac:dyDescent="0.25">
      <c r="C7" s="1"/>
      <c r="D7" s="5">
        <v>45066</v>
      </c>
      <c r="E7" s="1">
        <v>500000</v>
      </c>
      <c r="F7" s="1"/>
      <c r="G7" s="3" t="s">
        <v>4</v>
      </c>
      <c r="H7" s="3">
        <f>XIRR(E3:E7,D3:D7)</f>
        <v>5.9164871692657472</v>
      </c>
      <c r="I7" s="1" t="s">
        <v>0</v>
      </c>
      <c r="J7" s="1"/>
      <c r="K7" s="1"/>
      <c r="L7" s="1"/>
      <c r="M7" s="1"/>
      <c r="N7" s="1"/>
      <c r="O7" s="1"/>
    </row>
    <row r="8" spans="3:15" x14ac:dyDescent="0.25">
      <c r="C8" s="1"/>
      <c r="D8" s="1"/>
      <c r="E8" s="1"/>
      <c r="F8" s="1"/>
      <c r="G8" s="3" t="s">
        <v>5</v>
      </c>
      <c r="H8" s="3">
        <f>(1+H7)^(30/365)-1</f>
        <v>0.17228090559596732</v>
      </c>
      <c r="I8" s="1" t="s">
        <v>1</v>
      </c>
      <c r="J8" s="1"/>
      <c r="K8" s="1"/>
      <c r="L8" s="1"/>
      <c r="M8" s="1"/>
      <c r="N8" s="1"/>
      <c r="O8" s="1"/>
    </row>
    <row r="9" spans="3:15" x14ac:dyDescent="0.25">
      <c r="C9" s="1"/>
      <c r="D9" s="3"/>
      <c r="E9" s="1"/>
      <c r="F9" s="1"/>
      <c r="G9" s="2"/>
      <c r="H9" s="4"/>
      <c r="I9" s="1"/>
      <c r="J9" s="1"/>
      <c r="K9" s="1"/>
      <c r="L9" s="1"/>
      <c r="M9" s="1"/>
      <c r="N9" s="1"/>
      <c r="O9" s="1"/>
    </row>
    <row r="10" spans="3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5"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</row>
    <row r="12" spans="3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EB57-984E-49FF-B234-557F1985BFBD}">
  <dimension ref="A1:J75"/>
  <sheetViews>
    <sheetView workbookViewId="0">
      <selection activeCell="B3" sqref="B3"/>
    </sheetView>
  </sheetViews>
  <sheetFormatPr defaultRowHeight="15" x14ac:dyDescent="0.25"/>
  <cols>
    <col min="1" max="1" width="3" bestFit="1" customWidth="1"/>
    <col min="2" max="2" width="18" bestFit="1" customWidth="1"/>
    <col min="3" max="3" width="14.5703125" customWidth="1"/>
    <col min="4" max="4" width="24.85546875" bestFit="1" customWidth="1"/>
    <col min="5" max="5" width="15.85546875" bestFit="1" customWidth="1"/>
    <col min="6" max="6" width="14.42578125" bestFit="1" customWidth="1"/>
    <col min="7" max="7" width="14.7109375" bestFit="1" customWidth="1"/>
    <col min="8" max="8" width="12.85546875" bestFit="1" customWidth="1"/>
    <col min="9" max="9" width="14" bestFit="1" customWidth="1"/>
    <col min="10" max="10" width="21" bestFit="1" customWidth="1"/>
  </cols>
  <sheetData>
    <row r="1" spans="1:10" x14ac:dyDescent="0.25">
      <c r="B1" t="s">
        <v>42</v>
      </c>
      <c r="C1" t="s">
        <v>43</v>
      </c>
      <c r="D1" t="s">
        <v>44</v>
      </c>
    </row>
    <row r="2" spans="1:10" x14ac:dyDescent="0.25">
      <c r="A2" s="9" t="s">
        <v>37</v>
      </c>
      <c r="B2" s="16" t="s">
        <v>45</v>
      </c>
      <c r="C2" s="16" t="s">
        <v>40</v>
      </c>
      <c r="D2" s="16" t="s">
        <v>41</v>
      </c>
      <c r="E2" s="16" t="s">
        <v>39</v>
      </c>
      <c r="F2" s="16"/>
      <c r="G2" s="16"/>
      <c r="H2" s="16"/>
      <c r="I2" s="16"/>
      <c r="J2" s="16"/>
    </row>
    <row r="3" spans="1:10" x14ac:dyDescent="0.25">
      <c r="A3" s="17">
        <v>0</v>
      </c>
      <c r="B3" s="18">
        <v>0</v>
      </c>
      <c r="C3" s="18"/>
      <c r="D3" s="18">
        <v>0</v>
      </c>
      <c r="E3" s="18">
        <v>2700000</v>
      </c>
      <c r="F3" s="18"/>
      <c r="G3" s="18"/>
      <c r="H3" s="19"/>
      <c r="I3" s="18"/>
      <c r="J3" s="18"/>
    </row>
    <row r="4" spans="1:10" x14ac:dyDescent="0.25">
      <c r="A4" s="17">
        <v>1</v>
      </c>
      <c r="B4" s="18">
        <v>400000</v>
      </c>
      <c r="C4" s="19">
        <f>IPMT(PRINCIPAL!$C$5,A4,PRINCIPAL!$C$4,-E3,0)</f>
        <v>54000</v>
      </c>
      <c r="D4" s="19">
        <f>PPMT(PRINCIPAL!$C$5,A4,PRINCIPAL!$C$4,-B4,0)</f>
        <v>5040.7342189064375</v>
      </c>
      <c r="E4" s="18">
        <f>E3-D4</f>
        <v>2694959.2657810934</v>
      </c>
      <c r="F4" s="18"/>
      <c r="G4" s="18"/>
      <c r="H4" s="19"/>
      <c r="I4" s="18"/>
      <c r="J4" s="18"/>
    </row>
    <row r="5" spans="1:10" x14ac:dyDescent="0.25">
      <c r="A5" s="17">
        <v>2</v>
      </c>
      <c r="B5" s="18">
        <v>400000</v>
      </c>
      <c r="C5" s="19">
        <f>IPMT(PRINCIPAL!$C$5,A5,PRINCIPAL!$C$4,-E4,0)</f>
        <v>53219.956646142782</v>
      </c>
      <c r="D5" s="19">
        <f>PPMT(PRINCIPAL!$C$5,A5,PRINCIPAL!$C$4,-B5,0)</f>
        <v>5141.5489032845662</v>
      </c>
      <c r="E5" s="18">
        <f t="shared" ref="E5:E68" si="0">E4-D5</f>
        <v>2689817.7168778088</v>
      </c>
      <c r="F5" s="18"/>
      <c r="G5" s="19" t="e">
        <f>SUM(D4:D75)</f>
        <v>#NUM!</v>
      </c>
      <c r="H5" s="19"/>
      <c r="I5" s="18"/>
      <c r="J5" s="18"/>
    </row>
    <row r="6" spans="1:10" x14ac:dyDescent="0.25">
      <c r="A6" s="17">
        <v>3</v>
      </c>
      <c r="B6" s="18">
        <v>400000</v>
      </c>
      <c r="C6" s="19">
        <f>IPMT(PRINCIPAL!$C$5,A6,PRINCIPAL!$C$4,-E5,0)</f>
        <v>52426.930060539416</v>
      </c>
      <c r="D6" s="19">
        <f>PPMT(PRINCIPAL!$C$5,A6,PRINCIPAL!$C$4,-B6,0)</f>
        <v>5244.3798813502581</v>
      </c>
      <c r="E6" s="18">
        <f t="shared" si="0"/>
        <v>2684573.3369964585</v>
      </c>
      <c r="F6" s="18"/>
      <c r="G6" s="18"/>
      <c r="H6" s="19"/>
      <c r="I6" s="18"/>
      <c r="J6" s="18"/>
    </row>
    <row r="7" spans="1:10" x14ac:dyDescent="0.25">
      <c r="A7" s="17">
        <v>4</v>
      </c>
      <c r="B7" s="18">
        <v>400000</v>
      </c>
      <c r="C7" s="19">
        <f>IPMT(PRINCIPAL!$C$5,A7,PRINCIPAL!$C$4,-E6,0)</f>
        <v>51620.766331022336</v>
      </c>
      <c r="D7" s="19">
        <f>PPMT(PRINCIPAL!$C$5,A7,PRINCIPAL!$C$4,-B7,0)</f>
        <v>5349.2674789772627</v>
      </c>
      <c r="E7" s="18">
        <f t="shared" si="0"/>
        <v>2679224.0695174811</v>
      </c>
      <c r="F7" s="18"/>
      <c r="G7" s="18"/>
      <c r="H7" s="19"/>
      <c r="I7" s="18"/>
      <c r="J7" s="18"/>
    </row>
    <row r="8" spans="1:10" x14ac:dyDescent="0.25">
      <c r="A8" s="17">
        <v>5</v>
      </c>
      <c r="B8" s="18">
        <v>400000</v>
      </c>
      <c r="C8" s="19">
        <f>IPMT(PRINCIPAL!$C$5,A8,PRINCIPAL!$C$4,-E7,0)</f>
        <v>50801.312739580331</v>
      </c>
      <c r="D8" s="19">
        <f>PPMT(PRINCIPAL!$C$5,A8,PRINCIPAL!$C$4,-B8,0)</f>
        <v>5456.2528285568078</v>
      </c>
      <c r="E8" s="18">
        <f t="shared" si="0"/>
        <v>2673767.8166889246</v>
      </c>
      <c r="F8" s="18"/>
      <c r="G8" s="18"/>
      <c r="H8" s="19"/>
      <c r="I8" s="18"/>
      <c r="J8" s="18"/>
    </row>
    <row r="9" spans="1:10" x14ac:dyDescent="0.25">
      <c r="A9" s="17">
        <v>6</v>
      </c>
      <c r="B9" s="18">
        <v>400000</v>
      </c>
      <c r="C9" s="19">
        <f>IPMT(PRINCIPAL!$C$5,A9,PRINCIPAL!$C$4,-E8,0)</f>
        <v>49968.4179588466</v>
      </c>
      <c r="D9" s="19">
        <f>PPMT(PRINCIPAL!$C$5,A9,PRINCIPAL!$C$4,-B9,0)</f>
        <v>5565.377885127944</v>
      </c>
      <c r="E9" s="18">
        <f t="shared" si="0"/>
        <v>2668202.4388037967</v>
      </c>
      <c r="F9" s="18"/>
      <c r="G9" s="18"/>
      <c r="H9" s="19"/>
      <c r="I9" s="18"/>
      <c r="J9" s="18"/>
    </row>
    <row r="10" spans="1:10" x14ac:dyDescent="0.25">
      <c r="A10" s="17">
        <v>7</v>
      </c>
      <c r="B10" s="18">
        <v>400000</v>
      </c>
      <c r="C10" s="19">
        <f>IPMT(PRINCIPAL!$C$5,A10,PRINCIPAL!$C$4,-E9,0)</f>
        <v>49121.932259489804</v>
      </c>
      <c r="D10" s="19">
        <f>PPMT(PRINCIPAL!$C$5,A10,PRINCIPAL!$C$4,-B10,0)</f>
        <v>5676.6854428305032</v>
      </c>
      <c r="E10" s="18">
        <f t="shared" si="0"/>
        <v>2662525.7533609662</v>
      </c>
      <c r="F10" s="18"/>
      <c r="G10" s="18"/>
      <c r="H10" s="19"/>
      <c r="I10" s="18"/>
      <c r="J10" s="18"/>
    </row>
    <row r="11" spans="1:10" x14ac:dyDescent="0.25">
      <c r="A11" s="17">
        <v>8</v>
      </c>
      <c r="B11" s="18">
        <v>400000</v>
      </c>
      <c r="C11" s="19">
        <f>IPMT(PRINCIPAL!$C$5,A11,PRINCIPAL!$C$4,-E10,0)</f>
        <v>48261.707729007918</v>
      </c>
      <c r="D11" s="19">
        <f>PPMT(PRINCIPAL!$C$5,A11,PRINCIPAL!$C$4,-B11,0)</f>
        <v>5790.2191516871126</v>
      </c>
      <c r="E11" s="18">
        <f t="shared" si="0"/>
        <v>2656735.5342092789</v>
      </c>
      <c r="F11" s="18"/>
      <c r="G11" s="18"/>
      <c r="H11" s="19"/>
      <c r="I11" s="18"/>
      <c r="J11" s="18"/>
    </row>
    <row r="12" spans="1:10" x14ac:dyDescent="0.25">
      <c r="A12" s="17">
        <v>9</v>
      </c>
      <c r="B12" s="18">
        <v>400000</v>
      </c>
      <c r="C12" s="19">
        <f>IPMT(PRINCIPAL!$C$5,A12,PRINCIPAL!$C$4,-E11,0)</f>
        <v>47387.598502446068</v>
      </c>
      <c r="D12" s="19">
        <f>PPMT(PRINCIPAL!$C$5,A12,PRINCIPAL!$C$4,-B12,0)</f>
        <v>5906.0235347208554</v>
      </c>
      <c r="E12" s="18">
        <f t="shared" si="0"/>
        <v>2650829.5106745581</v>
      </c>
      <c r="F12" s="18"/>
      <c r="G12" s="18"/>
      <c r="H12" s="19"/>
      <c r="I12" s="18"/>
      <c r="J12" s="18"/>
    </row>
    <row r="13" spans="1:10" x14ac:dyDescent="0.25">
      <c r="A13" s="17">
        <v>10</v>
      </c>
      <c r="B13" s="18">
        <v>400000</v>
      </c>
      <c r="C13" s="19">
        <f>IPMT(PRINCIPAL!$C$5,A13,PRINCIPAL!$C$4,-E12,0)</f>
        <v>46499.461005581703</v>
      </c>
      <c r="D13" s="19">
        <f>PPMT(PRINCIPAL!$C$5,A13,PRINCIPAL!$C$4,-B13,0)</f>
        <v>6024.1440054152717</v>
      </c>
      <c r="E13" s="18">
        <f t="shared" si="0"/>
        <v>2644805.3666691426</v>
      </c>
      <c r="F13" s="18"/>
      <c r="G13" s="18"/>
      <c r="H13" s="19"/>
      <c r="I13" s="18"/>
      <c r="J13" s="18"/>
    </row>
    <row r="14" spans="1:10" x14ac:dyDescent="0.25">
      <c r="A14" s="17">
        <v>11</v>
      </c>
      <c r="B14" s="18">
        <v>400000</v>
      </c>
      <c r="C14" s="19">
        <f>IPMT(PRINCIPAL!$C$5,A14,PRINCIPAL!$C$4,-E13,0)</f>
        <v>45597.154211143534</v>
      </c>
      <c r="D14" s="19">
        <f>PPMT(PRINCIPAL!$C$5,A14,PRINCIPAL!$C$4,-B14,0)</f>
        <v>6144.6268855235776</v>
      </c>
      <c r="E14" s="18">
        <f t="shared" si="0"/>
        <v>2638660.7397836191</v>
      </c>
      <c r="F14" s="18"/>
      <c r="G14" s="18"/>
      <c r="H14" s="19"/>
      <c r="I14" s="18"/>
      <c r="J14" s="18"/>
    </row>
    <row r="15" spans="1:10" x14ac:dyDescent="0.25">
      <c r="A15" s="17">
        <v>12</v>
      </c>
      <c r="B15" s="18">
        <v>400000</v>
      </c>
      <c r="C15" s="19">
        <f>IPMT(PRINCIPAL!$C$5,A15,PRINCIPAL!$C$4,-E14,0)</f>
        <v>44680.53990865565</v>
      </c>
      <c r="D15" s="19">
        <f>PPMT(PRINCIPAL!$C$5,A15,PRINCIPAL!$C$4,-B15,0)</f>
        <v>6267.5194232340482</v>
      </c>
      <c r="E15" s="18">
        <f t="shared" si="0"/>
        <v>2632393.2203603848</v>
      </c>
      <c r="F15" s="18"/>
      <c r="G15" s="18"/>
      <c r="H15" s="19"/>
      <c r="I15" s="18"/>
      <c r="J15" s="18"/>
    </row>
    <row r="16" spans="1:10" x14ac:dyDescent="0.25">
      <c r="A16" s="17">
        <v>13</v>
      </c>
      <c r="B16" s="18">
        <v>400000</v>
      </c>
      <c r="C16" s="19">
        <f>IPMT(PRINCIPAL!$C$5,A16,PRINCIPAL!$C$4,-E15,0)</f>
        <v>43749.48298852169</v>
      </c>
      <c r="D16" s="19">
        <f>PPMT(PRINCIPAL!$C$5,A16,PRINCIPAL!$C$4,-B16,0)</f>
        <v>6392.8698116987307</v>
      </c>
      <c r="E16" s="18">
        <f t="shared" si="0"/>
        <v>2626000.350548686</v>
      </c>
      <c r="F16" s="18"/>
      <c r="G16" s="18"/>
      <c r="H16" s="19"/>
      <c r="I16" s="18"/>
      <c r="J16" s="18"/>
    </row>
    <row r="17" spans="1:10" x14ac:dyDescent="0.25">
      <c r="A17" s="17">
        <v>14</v>
      </c>
      <c r="B17" s="18">
        <v>400000</v>
      </c>
      <c r="C17" s="19">
        <f>IPMT(PRINCIPAL!$C$5,A17,PRINCIPAL!$C$4,-E16,0)</f>
        <v>42803.851740992286</v>
      </c>
      <c r="D17" s="19">
        <f>PPMT(PRINCIPAL!$C$5,A17,PRINCIPAL!$C$4,-B17,0)</f>
        <v>6520.7272079327049</v>
      </c>
      <c r="E17" s="18">
        <f t="shared" si="0"/>
        <v>2619479.6233407534</v>
      </c>
      <c r="F17" s="18"/>
      <c r="G17" s="18"/>
      <c r="H17" s="19"/>
      <c r="I17" s="18"/>
      <c r="J17" s="18"/>
    </row>
    <row r="18" spans="1:10" x14ac:dyDescent="0.25">
      <c r="A18" s="17">
        <v>15</v>
      </c>
      <c r="B18" s="18">
        <v>400000</v>
      </c>
      <c r="C18" s="19">
        <f>IPMT(PRINCIPAL!$C$5,A18,PRINCIPAL!$C$4,-E17,0)</f>
        <v>41843.51817068419</v>
      </c>
      <c r="D18" s="19">
        <f>PPMT(PRINCIPAL!$C$5,A18,PRINCIPAL!$C$4,-B18,0)</f>
        <v>6651.1417520913574</v>
      </c>
      <c r="E18" s="18">
        <f t="shared" si="0"/>
        <v>2612828.4815886621</v>
      </c>
      <c r="F18" s="18"/>
      <c r="G18" s="18"/>
      <c r="H18" s="19"/>
      <c r="I18" s="18"/>
      <c r="J18" s="18"/>
    </row>
    <row r="19" spans="1:10" x14ac:dyDescent="0.25">
      <c r="A19" s="17">
        <v>16</v>
      </c>
      <c r="B19" s="18">
        <v>400000</v>
      </c>
      <c r="C19" s="19">
        <f>IPMT(PRINCIPAL!$C$5,A19,PRINCIPAL!$C$4,-E18,0)</f>
        <v>40868.358327349604</v>
      </c>
      <c r="D19" s="19">
        <f>PPMT(PRINCIPAL!$C$5,A19,PRINCIPAL!$C$4,-B19,0)</f>
        <v>6784.1645871331857</v>
      </c>
      <c r="E19" s="18">
        <f t="shared" si="0"/>
        <v>2606044.317001529</v>
      </c>
      <c r="F19" s="18"/>
      <c r="G19" s="18"/>
      <c r="H19" s="19"/>
      <c r="I19" s="18"/>
      <c r="J19" s="18"/>
    </row>
    <row r="20" spans="1:10" x14ac:dyDescent="0.25">
      <c r="A20" s="17">
        <v>17</v>
      </c>
      <c r="B20" s="18">
        <v>400000</v>
      </c>
      <c r="C20" s="19">
        <f>IPMT(PRINCIPAL!$C$5,A20,PRINCIPAL!$C$4,-E19,0)</f>
        <v>39878.252653622505</v>
      </c>
      <c r="D20" s="19">
        <f>PPMT(PRINCIPAL!$C$5,A20,PRINCIPAL!$C$4,-B20,0)</f>
        <v>6919.8478788758503</v>
      </c>
      <c r="E20" s="18">
        <f t="shared" si="0"/>
        <v>2599124.4691226534</v>
      </c>
      <c r="F20" s="18"/>
      <c r="G20" s="18"/>
      <c r="H20" s="19"/>
      <c r="I20" s="18"/>
      <c r="J20" s="18"/>
    </row>
    <row r="21" spans="1:10" x14ac:dyDescent="0.25">
      <c r="A21" s="17">
        <v>18</v>
      </c>
      <c r="B21" s="18">
        <v>400000</v>
      </c>
      <c r="C21" s="19">
        <f>IPMT(PRINCIPAL!$C$5,A21,PRINCIPAL!$C$4,-E20,0)</f>
        <v>38873.086350500613</v>
      </c>
      <c r="D21" s="19">
        <f>PPMT(PRINCIPAL!$C$5,A21,PRINCIPAL!$C$4,-B21,0)</f>
        <v>7058.2448364533675</v>
      </c>
      <c r="E21" s="18">
        <f t="shared" si="0"/>
        <v>2592066.2242862</v>
      </c>
      <c r="F21" s="18"/>
      <c r="G21" s="18"/>
      <c r="H21" s="19"/>
      <c r="I21" s="18"/>
      <c r="J21" s="18"/>
    </row>
    <row r="22" spans="1:10" x14ac:dyDescent="0.25">
      <c r="A22" s="17">
        <v>19</v>
      </c>
      <c r="B22" s="18">
        <v>400000</v>
      </c>
      <c r="C22" s="19">
        <f>IPMT(PRINCIPAL!$C$5,A22,PRINCIPAL!$C$4,-E21,0)</f>
        <v>37852.749761352869</v>
      </c>
      <c r="D22" s="19">
        <f>PPMT(PRINCIPAL!$C$5,A22,PRINCIPAL!$C$4,-B22,0)</f>
        <v>7199.4097331824341</v>
      </c>
      <c r="E22" s="18">
        <f t="shared" si="0"/>
        <v>2584866.8145530177</v>
      </c>
      <c r="F22" s="18"/>
      <c r="G22" s="18"/>
      <c r="H22" s="19"/>
      <c r="I22" s="18"/>
      <c r="J22" s="18"/>
    </row>
    <row r="23" spans="1:10" x14ac:dyDescent="0.25">
      <c r="A23" s="17">
        <v>20</v>
      </c>
      <c r="B23" s="18">
        <v>400000</v>
      </c>
      <c r="C23" s="19">
        <f>IPMT(PRINCIPAL!$C$5,A23,PRINCIPAL!$C$4,-E22,0)</f>
        <v>36817.138775276209</v>
      </c>
      <c r="D23" s="19">
        <f>PPMT(PRINCIPAL!$C$5,A23,PRINCIPAL!$C$4,-B23,0)</f>
        <v>7343.3979278460829</v>
      </c>
      <c r="E23" s="18">
        <f t="shared" si="0"/>
        <v>2577523.4166251714</v>
      </c>
      <c r="F23" s="18"/>
      <c r="G23" s="18"/>
      <c r="H23" s="19"/>
      <c r="I23" s="18"/>
      <c r="J23" s="18"/>
    </row>
    <row r="24" spans="1:10" x14ac:dyDescent="0.25">
      <c r="A24" s="17">
        <v>21</v>
      </c>
      <c r="B24" s="18">
        <v>400000</v>
      </c>
      <c r="C24" s="19">
        <f>IPMT(PRINCIPAL!$C$5,A24,PRINCIPAL!$C$4,-E23,0)</f>
        <v>35766.155250660166</v>
      </c>
      <c r="D24" s="19">
        <f>PPMT(PRINCIPAL!$C$5,A24,PRINCIPAL!$C$4,-B24,0)</f>
        <v>7490.2658864030045</v>
      </c>
      <c r="E24" s="18">
        <f t="shared" si="0"/>
        <v>2570033.1507387683</v>
      </c>
      <c r="F24" s="18"/>
      <c r="G24" s="18"/>
      <c r="H24" s="19"/>
      <c r="I24" s="18"/>
      <c r="J24" s="18"/>
    </row>
    <row r="25" spans="1:10" x14ac:dyDescent="0.25">
      <c r="A25" s="17">
        <v>22</v>
      </c>
      <c r="B25" s="18">
        <v>400000</v>
      </c>
      <c r="C25" s="19">
        <f>IPMT(PRINCIPAL!$C$5,A25,PRINCIPAL!$C$4,-E24,0)</f>
        <v>34699.707459853715</v>
      </c>
      <c r="D25" s="19">
        <f>PPMT(PRINCIPAL!$C$5,A25,PRINCIPAL!$C$4,-B25,0)</f>
        <v>7640.0712041310653</v>
      </c>
      <c r="E25" s="18">
        <f t="shared" si="0"/>
        <v>2562393.0795346373</v>
      </c>
      <c r="F25" s="18"/>
      <c r="G25" s="18"/>
      <c r="H25" s="19"/>
      <c r="I25" s="18"/>
      <c r="J25" s="18"/>
    </row>
    <row r="26" spans="1:10" x14ac:dyDescent="0.25">
      <c r="A26" s="17">
        <v>23</v>
      </c>
      <c r="B26" s="18">
        <v>400000</v>
      </c>
      <c r="C26" s="19">
        <f>IPMT(PRINCIPAL!$C$5,A26,PRINCIPAL!$C$4,-E25,0)</f>
        <v>33617.710555866848</v>
      </c>
      <c r="D26" s="19">
        <f>PPMT(PRINCIPAL!$C$5,A26,PRINCIPAL!$C$4,-B26,0)</f>
        <v>7792.8726282136849</v>
      </c>
      <c r="E26" s="18">
        <f t="shared" si="0"/>
        <v>2554600.2069064234</v>
      </c>
      <c r="F26" s="18"/>
      <c r="G26" s="18"/>
      <c r="H26" s="19"/>
      <c r="I26" s="18"/>
      <c r="J26" s="18"/>
    </row>
    <row r="27" spans="1:10" x14ac:dyDescent="0.25">
      <c r="A27" s="17">
        <v>24</v>
      </c>
      <c r="B27" s="18">
        <v>400000</v>
      </c>
      <c r="C27" s="19">
        <f>IPMT(PRINCIPAL!$C$5,A27,PRINCIPAL!$C$4,-E26,0)</f>
        <v>32520.08706207843</v>
      </c>
      <c r="D27" s="19">
        <f>PPMT(PRINCIPAL!$C$5,A27,PRINCIPAL!$C$4,-B27,0)</f>
        <v>7948.7300807779584</v>
      </c>
      <c r="E27" s="18">
        <f t="shared" si="0"/>
        <v>2546651.4768256457</v>
      </c>
      <c r="F27" s="18"/>
      <c r="G27" s="18"/>
      <c r="H27" s="19"/>
      <c r="I27" s="18"/>
      <c r="J27" s="18"/>
    </row>
    <row r="28" spans="1:10" x14ac:dyDescent="0.25">
      <c r="A28" s="17">
        <v>25</v>
      </c>
      <c r="B28" s="18">
        <v>400000</v>
      </c>
      <c r="C28" s="19">
        <f>IPMT(PRINCIPAL!$C$5,A28,PRINCIPAL!$C$4,-E27,0)</f>
        <v>31406.767385962885</v>
      </c>
      <c r="D28" s="19">
        <f>PPMT(PRINCIPAL!$C$5,A28,PRINCIPAL!$C$4,-B28,0)</f>
        <v>8107.7046823935179</v>
      </c>
      <c r="E28" s="18">
        <f t="shared" si="0"/>
        <v>2538543.7721432522</v>
      </c>
      <c r="F28" s="18"/>
      <c r="G28" s="18"/>
      <c r="H28" s="19"/>
      <c r="I28" s="18"/>
      <c r="J28" s="18"/>
    </row>
    <row r="29" spans="1:10" x14ac:dyDescent="0.25">
      <c r="A29" s="17">
        <v>26</v>
      </c>
      <c r="B29" s="18">
        <v>400000</v>
      </c>
      <c r="C29" s="19">
        <f>IPMT(PRINCIPAL!$C$5,A29,PRINCIPAL!$C$4,-E28,0)</f>
        <v>30277.690357890609</v>
      </c>
      <c r="D29" s="19">
        <f>PPMT(PRINCIPAL!$C$5,A29,PRINCIPAL!$C$4,-B29,0)</f>
        <v>8269.8587760413902</v>
      </c>
      <c r="E29" s="18">
        <f t="shared" si="0"/>
        <v>2530273.9133672109</v>
      </c>
      <c r="F29" s="18"/>
      <c r="G29" s="18"/>
      <c r="H29" s="19"/>
      <c r="I29" s="18"/>
      <c r="J29" s="18"/>
    </row>
    <row r="30" spans="1:10" x14ac:dyDescent="0.25">
      <c r="A30" s="17">
        <v>27</v>
      </c>
      <c r="B30" s="18">
        <v>400000</v>
      </c>
      <c r="C30" s="19">
        <f>IPMT(PRINCIPAL!$C$5,A30,PRINCIPAL!$C$4,-E29,0)</f>
        <v>29132.803796101754</v>
      </c>
      <c r="D30" s="19">
        <f>PPMT(PRINCIPAL!$C$5,A30,PRINCIPAL!$C$4,-B30,0)</f>
        <v>8435.2559515622161</v>
      </c>
      <c r="E30" s="18">
        <f t="shared" si="0"/>
        <v>2521838.6574156485</v>
      </c>
      <c r="F30" s="18"/>
      <c r="G30" s="18"/>
      <c r="H30" s="19"/>
      <c r="I30" s="18"/>
      <c r="J30" s="18"/>
    </row>
    <row r="31" spans="1:10" x14ac:dyDescent="0.25">
      <c r="A31" s="17">
        <v>28</v>
      </c>
      <c r="B31" s="18">
        <v>400000</v>
      </c>
      <c r="C31" s="19">
        <f>IPMT(PRINCIPAL!$C$5,A31,PRINCIPAL!$C$4,-E30,0)</f>
        <v>27972.065098998482</v>
      </c>
      <c r="D31" s="19">
        <f>PPMT(PRINCIPAL!$C$5,A31,PRINCIPAL!$C$4,-B31,0)</f>
        <v>8603.961070593461</v>
      </c>
      <c r="E31" s="18">
        <f t="shared" si="0"/>
        <v>2513234.696345055</v>
      </c>
      <c r="F31" s="18"/>
      <c r="G31" s="18"/>
      <c r="H31" s="19"/>
      <c r="I31" s="18"/>
      <c r="J31" s="18"/>
    </row>
    <row r="32" spans="1:10" x14ac:dyDescent="0.25">
      <c r="A32" s="17">
        <v>29</v>
      </c>
      <c r="B32" s="18">
        <v>400000</v>
      </c>
      <c r="C32" s="19">
        <f>IPMT(PRINCIPAL!$C$5,A32,PRINCIPAL!$C$4,-E31,0)</f>
        <v>26795.441865949753</v>
      </c>
      <c r="D32" s="19">
        <f>PPMT(PRINCIPAL!$C$5,A32,PRINCIPAL!$C$4,-B32,0)</f>
        <v>8776.0402920053293</v>
      </c>
      <c r="E32" s="18">
        <f t="shared" si="0"/>
        <v>2504458.6560530495</v>
      </c>
      <c r="F32" s="18"/>
      <c r="G32" s="18"/>
      <c r="H32" s="19"/>
      <c r="I32" s="18"/>
      <c r="J32" s="18"/>
    </row>
    <row r="33" spans="1:10" x14ac:dyDescent="0.25">
      <c r="A33" s="17">
        <v>30</v>
      </c>
      <c r="B33" s="18">
        <v>400000</v>
      </c>
      <c r="C33" s="19">
        <f>IPMT(PRINCIPAL!$C$5,A33,PRINCIPAL!$C$4,-E32,0)</f>
        <v>25602.912547851713</v>
      </c>
      <c r="D33" s="19">
        <f>PPMT(PRINCIPAL!$C$5,A33,PRINCIPAL!$C$4,-B33,0)</f>
        <v>8951.561097845437</v>
      </c>
      <c r="E33" s="18">
        <f t="shared" si="0"/>
        <v>2495507.0949552041</v>
      </c>
      <c r="F33" s="18"/>
      <c r="G33" s="18"/>
      <c r="H33" s="19"/>
      <c r="I33" s="18"/>
      <c r="J33" s="18"/>
    </row>
    <row r="34" spans="1:10" x14ac:dyDescent="0.25">
      <c r="A34" s="17">
        <v>31</v>
      </c>
      <c r="B34" s="18">
        <v>400000</v>
      </c>
      <c r="C34" s="19">
        <f>IPMT(PRINCIPAL!$C$5,A34,PRINCIPAL!$C$4,-E33,0)</f>
        <v>24394.467128739689</v>
      </c>
      <c r="D34" s="19">
        <f>PPMT(PRINCIPAL!$C$5,A34,PRINCIPAL!$C$4,-B34,0)</f>
        <v>9130.5923198023447</v>
      </c>
      <c r="E34" s="18">
        <f t="shared" si="0"/>
        <v>2486376.5026354017</v>
      </c>
      <c r="F34" s="18"/>
      <c r="G34" s="18"/>
      <c r="H34" s="19"/>
      <c r="I34" s="18"/>
      <c r="J34" s="18"/>
    </row>
    <row r="35" spans="1:10" x14ac:dyDescent="0.25">
      <c r="A35" s="17">
        <v>32</v>
      </c>
      <c r="B35" s="18">
        <v>400000</v>
      </c>
      <c r="C35" s="19">
        <f>IPMT(PRINCIPAL!$C$5,A35,PRINCIPAL!$C$4,-E34,0)</f>
        <v>23170.107839801451</v>
      </c>
      <c r="D35" s="19">
        <f>PPMT(PRINCIPAL!$C$5,A35,PRINCIPAL!$C$4,-B35,0)</f>
        <v>9313.2041661983931</v>
      </c>
      <c r="E35" s="18">
        <f t="shared" si="0"/>
        <v>2477063.2984692031</v>
      </c>
      <c r="F35" s="18"/>
      <c r="G35" s="18"/>
      <c r="H35" s="19"/>
      <c r="I35" s="18"/>
      <c r="J35" s="18"/>
    </row>
    <row r="36" spans="1:10" x14ac:dyDescent="0.25">
      <c r="A36" s="17">
        <v>33</v>
      </c>
      <c r="B36" s="18">
        <v>400000</v>
      </c>
      <c r="C36" s="19">
        <f>IPMT(PRINCIPAL!$C$5,A36,PRINCIPAL!$C$4,-E35,0)</f>
        <v>21929.84990719815</v>
      </c>
      <c r="D36" s="19">
        <f>PPMT(PRINCIPAL!$C$5,A36,PRINCIPAL!$C$4,-B36,0)</f>
        <v>9499.4682495223606</v>
      </c>
      <c r="E36" s="18">
        <f t="shared" si="0"/>
        <v>2467563.8302196809</v>
      </c>
      <c r="F36" s="18"/>
      <c r="G36" s="18"/>
      <c r="H36" s="19"/>
      <c r="I36" s="18"/>
      <c r="J36" s="18"/>
    </row>
    <row r="37" spans="1:10" x14ac:dyDescent="0.25">
      <c r="A37" s="17">
        <v>34</v>
      </c>
      <c r="B37" s="18">
        <v>400000</v>
      </c>
      <c r="C37" s="19">
        <f>IPMT(PRINCIPAL!$C$5,A37,PRINCIPAL!$C$4,-E36,0)</f>
        <v>20673.722335157876</v>
      </c>
      <c r="D37" s="19">
        <f>PPMT(PRINCIPAL!$C$5,A37,PRINCIPAL!$C$4,-B37,0)</f>
        <v>9689.4576145128085</v>
      </c>
      <c r="E37" s="18">
        <f t="shared" si="0"/>
        <v>2457874.3726051683</v>
      </c>
      <c r="F37" s="18"/>
      <c r="G37" s="18"/>
      <c r="H37" s="19"/>
      <c r="I37" s="18"/>
      <c r="J37" s="18"/>
    </row>
    <row r="38" spans="1:10" x14ac:dyDescent="0.25">
      <c r="A38" s="17">
        <v>35</v>
      </c>
      <c r="B38" s="18">
        <v>400000</v>
      </c>
      <c r="C38" s="19">
        <f>IPMT(PRINCIPAL!$C$5,A38,PRINCIPAL!$C$4,-E37,0)</f>
        <v>19401.768725868173</v>
      </c>
      <c r="D38" s="19">
        <f>PPMT(PRINCIPAL!$C$5,A38,PRINCIPAL!$C$4,-B38,0)</f>
        <v>9883.246766803064</v>
      </c>
      <c r="E38" s="18">
        <f t="shared" si="0"/>
        <v>2447991.1258383654</v>
      </c>
      <c r="F38" s="18"/>
      <c r="G38" s="18"/>
      <c r="H38" s="19"/>
      <c r="I38" s="18"/>
      <c r="J38" s="18"/>
    </row>
    <row r="39" spans="1:10" x14ac:dyDescent="0.25">
      <c r="A39" s="17">
        <v>36</v>
      </c>
      <c r="B39" s="18">
        <v>400000</v>
      </c>
      <c r="C39" s="19">
        <f>IPMT(PRINCIPAL!$C$5,A39,PRINCIPAL!$C$4,-E38,0)</f>
        <v>18114.048137757389</v>
      </c>
      <c r="D39" s="19">
        <f>PPMT(PRINCIPAL!$C$5,A39,PRINCIPAL!$C$4,-B39,0)</f>
        <v>10080.911702139125</v>
      </c>
      <c r="E39" s="18">
        <f t="shared" si="0"/>
        <v>2437910.2141362261</v>
      </c>
      <c r="F39" s="18"/>
      <c r="G39" s="18"/>
      <c r="H39" s="19"/>
      <c r="I39" s="18"/>
      <c r="J39" s="18"/>
    </row>
    <row r="40" spans="1:10" x14ac:dyDescent="0.25">
      <c r="A40" s="17">
        <v>37</v>
      </c>
      <c r="B40" s="18">
        <v>400000</v>
      </c>
      <c r="C40" s="19">
        <f>IPMT(PRINCIPAL!$C$5,A40,PRINCIPAL!$C$4,-E39,0)</f>
        <v>16810.635983821034</v>
      </c>
      <c r="D40" s="19">
        <f>PPMT(PRINCIPAL!$C$5,A40,PRINCIPAL!$C$4,-B40,0)</f>
        <v>10282.529936181907</v>
      </c>
      <c r="E40" s="18">
        <f t="shared" si="0"/>
        <v>2427627.6842000443</v>
      </c>
      <c r="F40" s="18"/>
      <c r="G40" s="18"/>
      <c r="H40" s="19"/>
      <c r="I40" s="18"/>
      <c r="J40" s="18"/>
    </row>
    <row r="41" spans="1:10" x14ac:dyDescent="0.25">
      <c r="A41" s="17">
        <v>38</v>
      </c>
      <c r="B41" s="18">
        <v>400000</v>
      </c>
      <c r="C41" s="19">
        <f>IPMT(PRINCIPAL!$C$5,A41,PRINCIPAL!$C$4,-E40,0)</f>
        <v>15491.624971718436</v>
      </c>
      <c r="D41" s="19">
        <f>PPMT(PRINCIPAL!$C$5,A41,PRINCIPAL!$C$4,-B41,0)</f>
        <v>10488.180534905547</v>
      </c>
      <c r="E41" s="18">
        <f t="shared" si="0"/>
        <v>2417139.5036651385</v>
      </c>
      <c r="F41" s="18"/>
      <c r="G41" s="18"/>
      <c r="H41" s="19"/>
      <c r="I41" s="18"/>
      <c r="J41" s="18"/>
    </row>
    <row r="42" spans="1:10" x14ac:dyDescent="0.25">
      <c r="A42" s="17">
        <v>39</v>
      </c>
      <c r="B42" s="18">
        <v>400000</v>
      </c>
      <c r="C42" s="19">
        <f>IPMT(PRINCIPAL!$C$5,A42,PRINCIPAL!$C$4,-E41,0)</f>
        <v>14157.12608743674</v>
      </c>
      <c r="D42" s="19">
        <f>PPMT(PRINCIPAL!$C$5,A42,PRINCIPAL!$C$4,-B42,0)</f>
        <v>10697.944145603657</v>
      </c>
      <c r="E42" s="18">
        <f t="shared" si="0"/>
        <v>2406441.5595195349</v>
      </c>
      <c r="F42" s="18"/>
      <c r="G42" s="18"/>
      <c r="H42" s="19"/>
      <c r="I42" s="18"/>
      <c r="J42" s="18"/>
    </row>
    <row r="43" spans="1:10" x14ac:dyDescent="0.25">
      <c r="A43" s="17">
        <v>40</v>
      </c>
      <c r="B43" s="18">
        <v>400000</v>
      </c>
      <c r="C43" s="19">
        <f>IPMT(PRINCIPAL!$C$5,A43,PRINCIPAL!$C$4,-E42,0)</f>
        <v>12807.269624394103</v>
      </c>
      <c r="D43" s="19">
        <f>PPMT(PRINCIPAL!$C$5,A43,PRINCIPAL!$C$4,-B43,0)</f>
        <v>10911.90302851573</v>
      </c>
      <c r="E43" s="18">
        <f t="shared" si="0"/>
        <v>2395529.6564910193</v>
      </c>
      <c r="F43" s="18"/>
      <c r="G43" s="18"/>
      <c r="H43" s="19"/>
      <c r="I43" s="18"/>
      <c r="J43" s="18"/>
    </row>
    <row r="44" spans="1:10" x14ac:dyDescent="0.25">
      <c r="A44" s="17">
        <v>41</v>
      </c>
      <c r="B44" s="18">
        <v>400000</v>
      </c>
      <c r="C44" s="19">
        <f>IPMT(PRINCIPAL!$C$5,A44,PRINCIPAL!$C$4,-E43,0)</f>
        <v>11442.206259931867</v>
      </c>
      <c r="D44" s="19">
        <f>PPMT(PRINCIPAL!$C$5,A44,PRINCIPAL!$C$4,-B44,0)</f>
        <v>11130.141089086044</v>
      </c>
      <c r="E44" s="18">
        <f t="shared" si="0"/>
        <v>2384399.5154019333</v>
      </c>
      <c r="F44" s="18"/>
      <c r="G44" s="18"/>
      <c r="H44" s="19"/>
      <c r="I44" s="18"/>
      <c r="J44" s="18"/>
    </row>
    <row r="45" spans="1:10" x14ac:dyDescent="0.25">
      <c r="A45" s="17">
        <v>42</v>
      </c>
      <c r="B45" s="18">
        <v>400000</v>
      </c>
      <c r="C45" s="19">
        <f>IPMT(PRINCIPAL!$C$5,A45,PRINCIPAL!$C$4,-E44,0)</f>
        <v>10062.108181226424</v>
      </c>
      <c r="D45" s="19">
        <f>PPMT(PRINCIPAL!$C$5,A45,PRINCIPAL!$C$4,-B45,0)</f>
        <v>11352.743910867764</v>
      </c>
      <c r="E45" s="18">
        <f t="shared" si="0"/>
        <v>2373046.7714910656</v>
      </c>
      <c r="F45" s="18"/>
      <c r="G45" s="18"/>
      <c r="H45" s="19"/>
      <c r="I45" s="18"/>
      <c r="J45" s="18"/>
    </row>
    <row r="46" spans="1:10" x14ac:dyDescent="0.25">
      <c r="A46" s="17">
        <v>43</v>
      </c>
      <c r="B46" s="18">
        <v>400000</v>
      </c>
      <c r="C46" s="19">
        <f>IPMT(PRINCIPAL!$C$5,A46,PRINCIPAL!$C$4,-E45,0)</f>
        <v>8667.1702627359682</v>
      </c>
      <c r="D46" s="19">
        <f>PPMT(PRINCIPAL!$C$5,A46,PRINCIPAL!$C$4,-B46,0)</f>
        <v>11579.79878908512</v>
      </c>
      <c r="E46" s="18">
        <f t="shared" si="0"/>
        <v>2361466.9727019807</v>
      </c>
      <c r="F46" s="18"/>
      <c r="G46" s="18"/>
      <c r="H46" s="19"/>
      <c r="I46" s="18"/>
      <c r="J46" s="18"/>
    </row>
    <row r="47" spans="1:10" x14ac:dyDescent="0.25">
      <c r="A47" s="17">
        <v>44</v>
      </c>
      <c r="B47" s="18">
        <v>400000</v>
      </c>
      <c r="C47" s="19">
        <f>IPMT(PRINCIPAL!$C$5,A47,PRINCIPAL!$C$4,-E46,0)</f>
        <v>7257.6112973850813</v>
      </c>
      <c r="D47" s="19">
        <f>PPMT(PRINCIPAL!$C$5,A47,PRINCIPAL!$C$4,-B47,0)</f>
        <v>11811.394764866822</v>
      </c>
      <c r="E47" s="18">
        <f t="shared" si="0"/>
        <v>2349655.5779371141</v>
      </c>
      <c r="F47" s="18"/>
      <c r="G47" s="18"/>
      <c r="H47" s="19"/>
      <c r="I47" s="18"/>
      <c r="J47" s="18"/>
    </row>
    <row r="48" spans="1:10" x14ac:dyDescent="0.25">
      <c r="A48" s="17">
        <v>45</v>
      </c>
      <c r="B48" s="18">
        <v>400000</v>
      </c>
      <c r="C48" s="19">
        <f>IPMT(PRINCIPAL!$C$5,A48,PRINCIPAL!$C$4,-E47,0)</f>
        <v>5833.6752837815357</v>
      </c>
      <c r="D48" s="19">
        <f>PPMT(PRINCIPAL!$C$5,A48,PRINCIPAL!$C$4,-B48,0)</f>
        <v>12047.622660164157</v>
      </c>
      <c r="E48" s="18">
        <f t="shared" si="0"/>
        <v>2337607.9552769498</v>
      </c>
      <c r="F48" s="18"/>
      <c r="G48" s="18"/>
      <c r="H48" s="19"/>
      <c r="I48" s="18"/>
      <c r="J48" s="18"/>
    </row>
    <row r="49" spans="1:10" x14ac:dyDescent="0.25">
      <c r="A49" s="17">
        <v>46</v>
      </c>
      <c r="B49" s="18">
        <v>400000</v>
      </c>
      <c r="C49" s="19">
        <f>IPMT(PRINCIPAL!$C$5,A49,PRINCIPAL!$C$4,-E48,0)</f>
        <v>4395.63277185487</v>
      </c>
      <c r="D49" s="19">
        <f>PPMT(PRINCIPAL!$C$5,A49,PRINCIPAL!$C$4,-B49,0)</f>
        <v>12288.575113367444</v>
      </c>
      <c r="E49" s="18">
        <f t="shared" si="0"/>
        <v>2325319.3801635825</v>
      </c>
      <c r="F49" s="18"/>
      <c r="G49" s="18"/>
      <c r="H49" s="19"/>
      <c r="I49" s="18"/>
      <c r="J49" s="18"/>
    </row>
    <row r="50" spans="1:10" x14ac:dyDescent="0.25">
      <c r="A50" s="17">
        <v>47</v>
      </c>
      <c r="B50" s="18">
        <v>400000</v>
      </c>
      <c r="C50" s="19">
        <f>IPMT(PRINCIPAL!$C$5,A50,PRINCIPAL!$C$4,-E49,0)</f>
        <v>2943.7822694053625</v>
      </c>
      <c r="D50" s="19">
        <f>PPMT(PRINCIPAL!$C$5,A50,PRINCIPAL!$C$4,-B50,0)</f>
        <v>12534.346615634791</v>
      </c>
      <c r="E50" s="18">
        <f t="shared" si="0"/>
        <v>2312785.0335479476</v>
      </c>
      <c r="F50" s="18"/>
      <c r="G50" s="18"/>
      <c r="H50" s="19"/>
      <c r="I50" s="18"/>
      <c r="J50" s="18"/>
    </row>
    <row r="51" spans="1:10" x14ac:dyDescent="0.25">
      <c r="A51" s="17">
        <v>48</v>
      </c>
      <c r="B51" s="18">
        <v>400000</v>
      </c>
      <c r="C51" s="19">
        <f>IPMT(PRINCIPAL!$C$5,A51,PRINCIPAL!$C$4,-E50,0)</f>
        <v>1478.4517121550682</v>
      </c>
      <c r="D51" s="19">
        <f>PPMT(PRINCIPAL!$C$5,A51,PRINCIPAL!$C$4,-B51,0)</f>
        <v>12785.033547947487</v>
      </c>
      <c r="E51" s="18">
        <f t="shared" si="0"/>
        <v>2300000</v>
      </c>
      <c r="F51" s="18"/>
      <c r="G51" s="18"/>
      <c r="H51" s="19"/>
      <c r="I51" s="18"/>
      <c r="J51" s="18"/>
    </row>
    <row r="52" spans="1:10" x14ac:dyDescent="0.25">
      <c r="A52" s="17">
        <v>49</v>
      </c>
      <c r="B52" s="18">
        <v>400000</v>
      </c>
      <c r="C52" s="19" t="e">
        <f>IPMT(PRINCIPAL!$C$5,A52,PRINCIPAL!$C$4,-E51,0)</f>
        <v>#NUM!</v>
      </c>
      <c r="D52" s="19" t="e">
        <f>PPMT(PRINCIPAL!$C$5,A52,PRINCIPAL!$C$4,-B52,0)</f>
        <v>#NUM!</v>
      </c>
      <c r="E52" s="18" t="e">
        <f t="shared" si="0"/>
        <v>#NUM!</v>
      </c>
      <c r="F52" s="18"/>
      <c r="G52" s="18"/>
      <c r="H52" s="19"/>
      <c r="I52" s="18"/>
      <c r="J52" s="18"/>
    </row>
    <row r="53" spans="1:10" x14ac:dyDescent="0.25">
      <c r="A53" s="17">
        <v>50</v>
      </c>
      <c r="B53" s="18">
        <v>400000</v>
      </c>
      <c r="C53" s="19" t="e">
        <f>IPMT(PRINCIPAL!$C$5,A53,PRINCIPAL!$C$4,-E52,0)</f>
        <v>#NUM!</v>
      </c>
      <c r="D53" s="19" t="e">
        <f>PPMT(PRINCIPAL!$C$5,A53,PRINCIPAL!$C$4,-B53,0)</f>
        <v>#NUM!</v>
      </c>
      <c r="E53" s="18" t="e">
        <f t="shared" si="0"/>
        <v>#NUM!</v>
      </c>
      <c r="F53" s="18"/>
      <c r="G53" s="18"/>
      <c r="H53" s="19"/>
      <c r="I53" s="18"/>
      <c r="J53" s="18"/>
    </row>
    <row r="54" spans="1:10" x14ac:dyDescent="0.25">
      <c r="A54" s="17">
        <v>51</v>
      </c>
      <c r="B54" s="18">
        <v>400000</v>
      </c>
      <c r="C54" s="19" t="e">
        <f>IPMT(PRINCIPAL!$C$5,A54,PRINCIPAL!$C$4,-E53,0)</f>
        <v>#NUM!</v>
      </c>
      <c r="D54" s="19" t="e">
        <f>PPMT(PRINCIPAL!$C$5,A54,PRINCIPAL!$C$4,-B54,0)</f>
        <v>#NUM!</v>
      </c>
      <c r="E54" s="18" t="e">
        <f t="shared" si="0"/>
        <v>#NUM!</v>
      </c>
      <c r="F54" s="18"/>
      <c r="G54" s="18"/>
      <c r="H54" s="19"/>
      <c r="I54" s="18"/>
      <c r="J54" s="18"/>
    </row>
    <row r="55" spans="1:10" x14ac:dyDescent="0.25">
      <c r="A55" s="17">
        <v>52</v>
      </c>
      <c r="B55" s="18">
        <v>400000</v>
      </c>
      <c r="C55" s="19" t="e">
        <f>IPMT(PRINCIPAL!$C$5,A55,PRINCIPAL!$C$4,-E54,0)</f>
        <v>#NUM!</v>
      </c>
      <c r="D55" s="19" t="e">
        <f>PPMT(PRINCIPAL!$C$5,A55,PRINCIPAL!$C$4,-B55,0)</f>
        <v>#NUM!</v>
      </c>
      <c r="E55" s="18" t="e">
        <f t="shared" si="0"/>
        <v>#NUM!</v>
      </c>
      <c r="F55" s="18"/>
      <c r="G55" s="18"/>
      <c r="H55" s="19"/>
      <c r="I55" s="18"/>
      <c r="J55" s="18"/>
    </row>
    <row r="56" spans="1:10" x14ac:dyDescent="0.25">
      <c r="A56" s="17">
        <v>53</v>
      </c>
      <c r="B56" s="18">
        <v>400000</v>
      </c>
      <c r="C56" s="19" t="e">
        <f>IPMT(PRINCIPAL!$C$5,A56,PRINCIPAL!$C$4,-E55,0)</f>
        <v>#NUM!</v>
      </c>
      <c r="D56" s="19" t="e">
        <f>PPMT(PRINCIPAL!$C$5,A56,PRINCIPAL!$C$4,-B56,0)</f>
        <v>#NUM!</v>
      </c>
      <c r="E56" s="18" t="e">
        <f t="shared" si="0"/>
        <v>#NUM!</v>
      </c>
      <c r="F56" s="18"/>
      <c r="G56" s="18"/>
      <c r="H56" s="19"/>
      <c r="I56" s="18"/>
      <c r="J56" s="18"/>
    </row>
    <row r="57" spans="1:10" x14ac:dyDescent="0.25">
      <c r="A57" s="17">
        <v>54</v>
      </c>
      <c r="B57" s="18">
        <v>400000</v>
      </c>
      <c r="C57" s="19" t="e">
        <f>IPMT(PRINCIPAL!$C$5,A57,PRINCIPAL!$C$4,-E56,0)</f>
        <v>#NUM!</v>
      </c>
      <c r="D57" s="19" t="e">
        <f>PPMT(PRINCIPAL!$C$5,A57,PRINCIPAL!$C$4,-B57,0)</f>
        <v>#NUM!</v>
      </c>
      <c r="E57" s="18" t="e">
        <f t="shared" si="0"/>
        <v>#NUM!</v>
      </c>
      <c r="F57" s="18"/>
      <c r="G57" s="18"/>
      <c r="H57" s="19"/>
      <c r="I57" s="18"/>
      <c r="J57" s="18"/>
    </row>
    <row r="58" spans="1:10" x14ac:dyDescent="0.25">
      <c r="A58" s="17">
        <v>55</v>
      </c>
      <c r="B58" s="18">
        <v>400000</v>
      </c>
      <c r="C58" s="19" t="e">
        <f>IPMT(PRINCIPAL!$C$5,A58,PRINCIPAL!$C$4,-E57,0)</f>
        <v>#NUM!</v>
      </c>
      <c r="D58" s="19" t="e">
        <f>PPMT(PRINCIPAL!$C$5,A58,PRINCIPAL!$C$4,-B58,0)</f>
        <v>#NUM!</v>
      </c>
      <c r="E58" s="18" t="e">
        <f t="shared" si="0"/>
        <v>#NUM!</v>
      </c>
      <c r="F58" s="18"/>
      <c r="G58" s="18"/>
      <c r="H58" s="19"/>
      <c r="I58" s="18"/>
      <c r="J58" s="18"/>
    </row>
    <row r="59" spans="1:10" x14ac:dyDescent="0.25">
      <c r="A59" s="17">
        <v>56</v>
      </c>
      <c r="B59" s="18">
        <v>400000</v>
      </c>
      <c r="C59" s="19" t="e">
        <f>IPMT(PRINCIPAL!$C$5,A59,PRINCIPAL!$C$4,-E58,0)</f>
        <v>#NUM!</v>
      </c>
      <c r="D59" s="19" t="e">
        <f>PPMT(PRINCIPAL!$C$5,A59,PRINCIPAL!$C$4,-B59,0)</f>
        <v>#NUM!</v>
      </c>
      <c r="E59" s="18" t="e">
        <f t="shared" si="0"/>
        <v>#NUM!</v>
      </c>
      <c r="F59" s="18"/>
      <c r="G59" s="18"/>
      <c r="H59" s="19"/>
      <c r="I59" s="18"/>
      <c r="J59" s="18"/>
    </row>
    <row r="60" spans="1:10" x14ac:dyDescent="0.25">
      <c r="A60" s="17">
        <v>57</v>
      </c>
      <c r="B60" s="18">
        <v>400000</v>
      </c>
      <c r="C60" s="19" t="e">
        <f>IPMT(PRINCIPAL!$C$5,A60,PRINCIPAL!$C$4,-E59,0)</f>
        <v>#NUM!</v>
      </c>
      <c r="D60" s="19" t="e">
        <f>PPMT(PRINCIPAL!$C$5,A60,PRINCIPAL!$C$4,-B60,0)</f>
        <v>#NUM!</v>
      </c>
      <c r="E60" s="18" t="e">
        <f t="shared" si="0"/>
        <v>#NUM!</v>
      </c>
      <c r="F60" s="18"/>
      <c r="G60" s="18"/>
      <c r="H60" s="19"/>
      <c r="I60" s="18"/>
      <c r="J60" s="18"/>
    </row>
    <row r="61" spans="1:10" x14ac:dyDescent="0.25">
      <c r="A61" s="17">
        <v>58</v>
      </c>
      <c r="B61" s="18">
        <v>400000</v>
      </c>
      <c r="C61" s="19" t="e">
        <f>IPMT(PRINCIPAL!$C$5,A61,PRINCIPAL!$C$4,-E60,0)</f>
        <v>#NUM!</v>
      </c>
      <c r="D61" s="19" t="e">
        <f>PPMT(PRINCIPAL!$C$5,A61,PRINCIPAL!$C$4,-B61,0)</f>
        <v>#NUM!</v>
      </c>
      <c r="E61" s="18" t="e">
        <f t="shared" si="0"/>
        <v>#NUM!</v>
      </c>
      <c r="F61" s="18"/>
      <c r="G61" s="18"/>
      <c r="H61" s="19"/>
      <c r="I61" s="18"/>
      <c r="J61" s="18"/>
    </row>
    <row r="62" spans="1:10" x14ac:dyDescent="0.25">
      <c r="A62" s="17">
        <v>59</v>
      </c>
      <c r="B62" s="18">
        <v>400000</v>
      </c>
      <c r="C62" s="19" t="e">
        <f>IPMT(PRINCIPAL!$C$5,A62,PRINCIPAL!$C$4,-E61,0)</f>
        <v>#NUM!</v>
      </c>
      <c r="D62" s="19" t="e">
        <f>PPMT(PRINCIPAL!$C$5,A62,PRINCIPAL!$C$4,-B62,0)</f>
        <v>#NUM!</v>
      </c>
      <c r="E62" s="18" t="e">
        <f t="shared" si="0"/>
        <v>#NUM!</v>
      </c>
      <c r="F62" s="18"/>
      <c r="G62" s="18"/>
      <c r="H62" s="19"/>
      <c r="I62" s="18"/>
      <c r="J62" s="18"/>
    </row>
    <row r="63" spans="1:10" x14ac:dyDescent="0.25">
      <c r="A63" s="17">
        <v>60</v>
      </c>
      <c r="B63" s="18">
        <v>400000</v>
      </c>
      <c r="C63" s="19" t="e">
        <f>IPMT(PRINCIPAL!$C$5,A63,PRINCIPAL!$C$4,-E62,0)</f>
        <v>#NUM!</v>
      </c>
      <c r="D63" s="19" t="e">
        <f>PPMT(PRINCIPAL!$C$5,A63,PRINCIPAL!$C$4,-B63,0)</f>
        <v>#NUM!</v>
      </c>
      <c r="E63" s="18" t="e">
        <f t="shared" si="0"/>
        <v>#NUM!</v>
      </c>
      <c r="F63" s="18"/>
      <c r="G63" s="18"/>
      <c r="H63" s="19"/>
      <c r="I63" s="18"/>
      <c r="J63" s="18"/>
    </row>
    <row r="64" spans="1:10" x14ac:dyDescent="0.25">
      <c r="A64" s="17">
        <v>61</v>
      </c>
      <c r="B64" s="18">
        <v>400000</v>
      </c>
      <c r="C64" s="19" t="e">
        <f>IPMT(PRINCIPAL!$C$5,A64,PRINCIPAL!$C$4,-E63,0)</f>
        <v>#NUM!</v>
      </c>
      <c r="D64" s="19" t="e">
        <f>PPMT(PRINCIPAL!$C$5,A64,PRINCIPAL!$C$4,-B64,0)</f>
        <v>#NUM!</v>
      </c>
      <c r="E64" s="18" t="e">
        <f t="shared" si="0"/>
        <v>#NUM!</v>
      </c>
      <c r="F64" s="18"/>
      <c r="G64" s="18"/>
      <c r="H64" s="19"/>
      <c r="I64" s="18"/>
      <c r="J64" s="18"/>
    </row>
    <row r="65" spans="1:10" x14ac:dyDescent="0.25">
      <c r="A65" s="17">
        <v>62</v>
      </c>
      <c r="B65" s="18">
        <v>400000</v>
      </c>
      <c r="C65" s="19" t="e">
        <f>IPMT(PRINCIPAL!$C$5,A65,PRINCIPAL!$C$4,-E64,0)</f>
        <v>#NUM!</v>
      </c>
      <c r="D65" s="19" t="e">
        <f>PPMT(PRINCIPAL!$C$5,A65,PRINCIPAL!$C$4,-B65,0)</f>
        <v>#NUM!</v>
      </c>
      <c r="E65" s="18" t="e">
        <f t="shared" si="0"/>
        <v>#NUM!</v>
      </c>
      <c r="F65" s="18"/>
      <c r="G65" s="18"/>
      <c r="H65" s="19"/>
      <c r="I65" s="18"/>
      <c r="J65" s="18"/>
    </row>
    <row r="66" spans="1:10" x14ac:dyDescent="0.25">
      <c r="A66" s="17">
        <v>63</v>
      </c>
      <c r="B66" s="18">
        <v>400000</v>
      </c>
      <c r="C66" s="19" t="e">
        <f>IPMT(PRINCIPAL!$C$5,A66,PRINCIPAL!$C$4,-E65,0)</f>
        <v>#NUM!</v>
      </c>
      <c r="D66" s="19" t="e">
        <f>PPMT(PRINCIPAL!$C$5,A66,PRINCIPAL!$C$4,-B66,0)</f>
        <v>#NUM!</v>
      </c>
      <c r="E66" s="18" t="e">
        <f t="shared" si="0"/>
        <v>#NUM!</v>
      </c>
      <c r="F66" s="18"/>
      <c r="G66" s="18"/>
      <c r="H66" s="19"/>
      <c r="I66" s="18"/>
      <c r="J66" s="18"/>
    </row>
    <row r="67" spans="1:10" x14ac:dyDescent="0.25">
      <c r="A67" s="17">
        <v>64</v>
      </c>
      <c r="B67" s="18">
        <v>400000</v>
      </c>
      <c r="C67" s="19" t="e">
        <f>IPMT(PRINCIPAL!$C$5,A67,PRINCIPAL!$C$4,-E66,0)</f>
        <v>#NUM!</v>
      </c>
      <c r="D67" s="19" t="e">
        <f>PPMT(PRINCIPAL!$C$5,A67,PRINCIPAL!$C$4,-B67,0)</f>
        <v>#NUM!</v>
      </c>
      <c r="E67" s="18" t="e">
        <f t="shared" si="0"/>
        <v>#NUM!</v>
      </c>
      <c r="F67" s="18"/>
      <c r="G67" s="18"/>
      <c r="H67" s="19"/>
      <c r="I67" s="18"/>
      <c r="J67" s="18"/>
    </row>
    <row r="68" spans="1:10" x14ac:dyDescent="0.25">
      <c r="A68" s="17">
        <v>65</v>
      </c>
      <c r="B68" s="18">
        <v>400000</v>
      </c>
      <c r="C68" s="19" t="e">
        <f>IPMT(PRINCIPAL!$C$5,A68,PRINCIPAL!$C$4,-E67,0)</f>
        <v>#NUM!</v>
      </c>
      <c r="D68" s="19" t="e">
        <f>PPMT(PRINCIPAL!$C$5,A68,PRINCIPAL!$C$4,-B68,0)</f>
        <v>#NUM!</v>
      </c>
      <c r="E68" s="18" t="e">
        <f t="shared" si="0"/>
        <v>#NUM!</v>
      </c>
      <c r="F68" s="18"/>
      <c r="G68" s="18"/>
      <c r="H68" s="19"/>
      <c r="I68" s="18"/>
      <c r="J68" s="18"/>
    </row>
    <row r="69" spans="1:10" x14ac:dyDescent="0.25">
      <c r="A69" s="17">
        <v>66</v>
      </c>
      <c r="B69" s="18">
        <v>400000</v>
      </c>
      <c r="C69" s="19" t="e">
        <f>IPMT(PRINCIPAL!$C$5,A69,PRINCIPAL!$C$4,-E68,0)</f>
        <v>#NUM!</v>
      </c>
      <c r="D69" s="19" t="e">
        <f>PPMT(PRINCIPAL!$C$5,A69,PRINCIPAL!$C$4,-B69,0)</f>
        <v>#NUM!</v>
      </c>
      <c r="E69" s="18" t="e">
        <f t="shared" ref="E69:E75" si="1">E68-D69</f>
        <v>#NUM!</v>
      </c>
      <c r="F69" s="18"/>
      <c r="G69" s="18"/>
      <c r="H69" s="19"/>
      <c r="I69" s="18"/>
      <c r="J69" s="18"/>
    </row>
    <row r="70" spans="1:10" x14ac:dyDescent="0.25">
      <c r="A70" s="17">
        <v>67</v>
      </c>
      <c r="B70" s="18">
        <v>400000</v>
      </c>
      <c r="C70" s="19" t="e">
        <f>IPMT(PRINCIPAL!$C$5,A70,PRINCIPAL!$C$4,-E69,0)</f>
        <v>#NUM!</v>
      </c>
      <c r="D70" s="19" t="e">
        <f>PPMT(PRINCIPAL!$C$5,A70,PRINCIPAL!$C$4,-B70,0)</f>
        <v>#NUM!</v>
      </c>
      <c r="E70" s="18" t="e">
        <f t="shared" si="1"/>
        <v>#NUM!</v>
      </c>
      <c r="F70" s="18"/>
      <c r="G70" s="18"/>
      <c r="H70" s="19"/>
      <c r="I70" s="18"/>
      <c r="J70" s="18"/>
    </row>
    <row r="71" spans="1:10" x14ac:dyDescent="0.25">
      <c r="A71" s="17">
        <v>68</v>
      </c>
      <c r="B71" s="18">
        <v>400000</v>
      </c>
      <c r="C71" s="19" t="e">
        <f>IPMT(PRINCIPAL!$C$5,A71,PRINCIPAL!$C$4,-E70,0)</f>
        <v>#NUM!</v>
      </c>
      <c r="D71" s="19" t="e">
        <f>PPMT(PRINCIPAL!$C$5,A71,PRINCIPAL!$C$4,-B71,0)</f>
        <v>#NUM!</v>
      </c>
      <c r="E71" s="18" t="e">
        <f t="shared" si="1"/>
        <v>#NUM!</v>
      </c>
      <c r="F71" s="18"/>
      <c r="G71" s="18"/>
      <c r="H71" s="19"/>
      <c r="I71" s="18"/>
      <c r="J71" s="18"/>
    </row>
    <row r="72" spans="1:10" x14ac:dyDescent="0.25">
      <c r="A72" s="17">
        <v>69</v>
      </c>
      <c r="B72" s="18">
        <v>400000</v>
      </c>
      <c r="C72" s="19" t="e">
        <f>IPMT(PRINCIPAL!$C$5,A72,PRINCIPAL!$C$4,-E71,0)</f>
        <v>#NUM!</v>
      </c>
      <c r="D72" s="19" t="e">
        <f>PPMT(PRINCIPAL!$C$5,A72,PRINCIPAL!$C$4,-B72,0)</f>
        <v>#NUM!</v>
      </c>
      <c r="E72" s="18" t="e">
        <f t="shared" si="1"/>
        <v>#NUM!</v>
      </c>
      <c r="F72" s="18"/>
      <c r="G72" s="18"/>
      <c r="H72" s="19"/>
      <c r="I72" s="18"/>
      <c r="J72" s="18"/>
    </row>
    <row r="73" spans="1:10" x14ac:dyDescent="0.25">
      <c r="A73" s="17">
        <v>70</v>
      </c>
      <c r="B73" s="18">
        <v>400000</v>
      </c>
      <c r="C73" s="19" t="e">
        <f>IPMT(PRINCIPAL!$C$5,A73,PRINCIPAL!$C$4,-E72,0)</f>
        <v>#NUM!</v>
      </c>
      <c r="D73" s="19" t="e">
        <f>PPMT(PRINCIPAL!$C$5,A73,PRINCIPAL!$C$4,-B73,0)</f>
        <v>#NUM!</v>
      </c>
      <c r="E73" s="18" t="e">
        <f t="shared" si="1"/>
        <v>#NUM!</v>
      </c>
      <c r="F73" s="18"/>
      <c r="G73" s="18"/>
      <c r="H73" s="19"/>
      <c r="I73" s="18"/>
      <c r="J73" s="18"/>
    </row>
    <row r="74" spans="1:10" x14ac:dyDescent="0.25">
      <c r="A74" s="17">
        <v>71</v>
      </c>
      <c r="B74" s="18">
        <v>400000</v>
      </c>
      <c r="C74" s="19" t="e">
        <f>IPMT(PRINCIPAL!$C$5,A74,PRINCIPAL!$C$4,-E73,0)</f>
        <v>#NUM!</v>
      </c>
      <c r="D74" s="19" t="e">
        <f>PPMT(PRINCIPAL!$C$5,A74,PRINCIPAL!$C$4,-B74,0)</f>
        <v>#NUM!</v>
      </c>
      <c r="E74" s="18" t="e">
        <f t="shared" si="1"/>
        <v>#NUM!</v>
      </c>
      <c r="F74" s="18"/>
      <c r="G74" s="18"/>
      <c r="H74" s="19"/>
      <c r="I74" s="18"/>
      <c r="J74" s="18"/>
    </row>
    <row r="75" spans="1:10" x14ac:dyDescent="0.25">
      <c r="A75" s="17">
        <v>72</v>
      </c>
      <c r="B75" s="18">
        <v>400000</v>
      </c>
      <c r="C75" s="19" t="e">
        <f>IPMT(PRINCIPAL!$C$5,A75,PRINCIPAL!$C$4,-E74,0)</f>
        <v>#NUM!</v>
      </c>
      <c r="D75" s="19" t="e">
        <f>PPMT(PRINCIPAL!$C$5,A75,PRINCIPAL!$C$4,-B75,0)</f>
        <v>#NUM!</v>
      </c>
      <c r="E75" s="18" t="e">
        <f t="shared" si="1"/>
        <v>#NUM!</v>
      </c>
      <c r="F75" s="18"/>
      <c r="G75" s="18"/>
      <c r="H75" s="19"/>
      <c r="I75" s="18"/>
      <c r="J75" s="18"/>
    </row>
  </sheetData>
  <conditionalFormatting sqref="G3:G75"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F4D-922D-44E2-A501-D4677060E1CE}">
  <dimension ref="A1:K97"/>
  <sheetViews>
    <sheetView tabSelected="1" zoomScale="80" zoomScaleNormal="80" workbookViewId="0">
      <selection activeCell="C9" sqref="C9"/>
    </sheetView>
  </sheetViews>
  <sheetFormatPr defaultRowHeight="15" x14ac:dyDescent="0.25"/>
  <cols>
    <col min="2" max="2" width="30" bestFit="1" customWidth="1"/>
    <col min="3" max="3" width="24.7109375" customWidth="1"/>
    <col min="4" max="4" width="26.42578125" bestFit="1" customWidth="1"/>
    <col min="5" max="6" width="26.42578125" customWidth="1"/>
    <col min="7" max="8" width="21" customWidth="1"/>
    <col min="9" max="9" width="14" bestFit="1" customWidth="1"/>
    <col min="10" max="10" width="21" bestFit="1" customWidth="1"/>
    <col min="11" max="11" width="16.85546875" bestFit="1" customWidth="1"/>
  </cols>
  <sheetData>
    <row r="1" spans="1:11" ht="15.75" thickBot="1" x14ac:dyDescent="0.3">
      <c r="A1" s="10"/>
      <c r="B1" s="10" t="s">
        <v>6</v>
      </c>
      <c r="C1" s="27"/>
      <c r="D1" s="9"/>
      <c r="E1" s="35"/>
    </row>
    <row r="2" spans="1:11" x14ac:dyDescent="0.25">
      <c r="A2" s="11">
        <v>1</v>
      </c>
      <c r="B2" s="12" t="s">
        <v>8</v>
      </c>
      <c r="C2" s="28">
        <v>10000</v>
      </c>
    </row>
    <row r="3" spans="1:11" x14ac:dyDescent="0.25">
      <c r="A3" s="11">
        <v>2</v>
      </c>
      <c r="B3" s="12" t="s">
        <v>9</v>
      </c>
      <c r="C3" s="29">
        <v>20000</v>
      </c>
    </row>
    <row r="4" spans="1:11" x14ac:dyDescent="0.25">
      <c r="A4" s="11">
        <v>3</v>
      </c>
      <c r="B4" s="12" t="s">
        <v>23</v>
      </c>
      <c r="C4" s="30">
        <v>48</v>
      </c>
    </row>
    <row r="5" spans="1:11" x14ac:dyDescent="0.25">
      <c r="A5" s="11">
        <v>4</v>
      </c>
      <c r="B5" s="12" t="s">
        <v>10</v>
      </c>
      <c r="C5" s="31">
        <v>0.02</v>
      </c>
    </row>
    <row r="6" spans="1:11" x14ac:dyDescent="0.25">
      <c r="A6" s="11">
        <v>5</v>
      </c>
      <c r="B6" s="12" t="s">
        <v>11</v>
      </c>
      <c r="C6" s="29">
        <v>5000</v>
      </c>
    </row>
    <row r="7" spans="1:11" x14ac:dyDescent="0.25">
      <c r="A7" s="11">
        <v>6</v>
      </c>
      <c r="B7" s="12" t="s">
        <v>12</v>
      </c>
      <c r="C7" s="32">
        <v>6.2399999999999997E-2</v>
      </c>
      <c r="K7" s="15"/>
    </row>
    <row r="8" spans="1:11" x14ac:dyDescent="0.25">
      <c r="A8" s="11">
        <v>7</v>
      </c>
      <c r="B8" s="12" t="s">
        <v>13</v>
      </c>
      <c r="C8" s="29"/>
    </row>
    <row r="9" spans="1:11" x14ac:dyDescent="0.25">
      <c r="A9" s="11">
        <v>8</v>
      </c>
      <c r="B9" s="12" t="s">
        <v>24</v>
      </c>
      <c r="C9" s="29"/>
    </row>
    <row r="10" spans="1:11" x14ac:dyDescent="0.25">
      <c r="A10" s="11">
        <v>9</v>
      </c>
      <c r="B10" s="12" t="s">
        <v>25</v>
      </c>
      <c r="C10" s="30">
        <v>48</v>
      </c>
    </row>
    <row r="11" spans="1:11" x14ac:dyDescent="0.25">
      <c r="A11" s="11">
        <v>10</v>
      </c>
      <c r="B11" s="12" t="s">
        <v>14</v>
      </c>
      <c r="C11" s="33">
        <v>0.01</v>
      </c>
    </row>
    <row r="12" spans="1:11" ht="15.75" thickBot="1" x14ac:dyDescent="0.3">
      <c r="A12" s="37">
        <v>11</v>
      </c>
      <c r="B12" s="38" t="s">
        <v>15</v>
      </c>
      <c r="C12" s="34">
        <v>0.03</v>
      </c>
    </row>
    <row r="13" spans="1:11" x14ac:dyDescent="0.25">
      <c r="A13" s="8"/>
      <c r="B13" s="8" t="s">
        <v>7</v>
      </c>
      <c r="C13" s="8"/>
    </row>
    <row r="14" spans="1:11" x14ac:dyDescent="0.25">
      <c r="A14" s="11">
        <v>1</v>
      </c>
      <c r="B14" s="11" t="s">
        <v>16</v>
      </c>
      <c r="C14" s="14">
        <f>IRR(G25:G97)</f>
        <v>0.46880000000035671</v>
      </c>
      <c r="D14" s="11" t="s">
        <v>31</v>
      </c>
      <c r="E14" s="36" t="str" cm="1">
        <f t="array" ref="E14">_xlfn.IFS(C14&gt;$C$5,"ACEITAR PROJETO",C14&lt;=$C$5,"NÃO ACEITAR PROJETO")</f>
        <v>ACEITAR PROJETO</v>
      </c>
    </row>
    <row r="15" spans="1:11" x14ac:dyDescent="0.25">
      <c r="A15" s="11">
        <v>2</v>
      </c>
      <c r="B15" s="11" t="s">
        <v>17</v>
      </c>
      <c r="C15" s="23">
        <f>MIRR(G25:G97,C12,C11)</f>
        <v>5.615255320769319E-2</v>
      </c>
      <c r="D15" s="11" t="s">
        <v>31</v>
      </c>
      <c r="E15" s="9" t="str" cm="1">
        <f t="array" ref="E15">_xlfn.IFS(C15&gt;$C$5,"ACEITAR PROJETO",C15&lt;=$C$5,"NÃO ACEITAR PROJETO")</f>
        <v>ACEITAR PROJETO</v>
      </c>
    </row>
    <row r="16" spans="1:11" x14ac:dyDescent="0.25">
      <c r="A16" s="11">
        <v>3</v>
      </c>
      <c r="B16" s="11" t="s">
        <v>18</v>
      </c>
      <c r="C16" s="20">
        <f>NPV(C5,G26:G97)+G25</f>
        <v>172875.66275690802</v>
      </c>
      <c r="D16" s="11" t="s">
        <v>32</v>
      </c>
      <c r="E16" s="9" t="str">
        <f>IF(C16&gt;0,"ACEITAR PROJETO","NÃO ACEITAR PROJETO")</f>
        <v>ACEITAR PROJETO</v>
      </c>
    </row>
    <row r="17" spans="1:11" x14ac:dyDescent="0.25">
      <c r="A17" s="11">
        <v>4</v>
      </c>
      <c r="B17" s="11" t="s">
        <v>19</v>
      </c>
      <c r="C17" s="20">
        <f>PMT(C5,C4,-C16)</f>
        <v>5636.0639273253482</v>
      </c>
      <c r="D17" s="11" t="s">
        <v>33</v>
      </c>
      <c r="E17" s="9"/>
    </row>
    <row r="18" spans="1:11" x14ac:dyDescent="0.25">
      <c r="A18" s="11">
        <v>5</v>
      </c>
      <c r="B18" s="11" t="s">
        <v>38</v>
      </c>
      <c r="C18" s="25">
        <f>SUM(G26:G97)/(-G25)</f>
        <v>35.753599999999999</v>
      </c>
      <c r="D18" s="11" t="s">
        <v>34</v>
      </c>
      <c r="E18" s="9" t="str">
        <f>IF(C18&gt;1,"ACEITAR PROJETO","NÃO ACEITAR PROJETO")</f>
        <v>ACEITAR PROJETO</v>
      </c>
    </row>
    <row r="19" spans="1:11" x14ac:dyDescent="0.25">
      <c r="A19" s="11">
        <v>6</v>
      </c>
      <c r="B19" s="11" t="s">
        <v>20</v>
      </c>
      <c r="C19" s="13">
        <f>(C18-1)/100</f>
        <v>0.34753600000000001</v>
      </c>
      <c r="D19" s="11" t="s">
        <v>32</v>
      </c>
      <c r="E19" s="9" t="str">
        <f>IF(C19&gt;0,"ACEITAR PROJETO","NÃO ACEITAR PROJETO")</f>
        <v>ACEITAR PROJETO</v>
      </c>
    </row>
    <row r="20" spans="1:11" x14ac:dyDescent="0.25">
      <c r="A20" s="11">
        <v>7</v>
      </c>
      <c r="B20" s="11" t="s">
        <v>21</v>
      </c>
      <c r="C20" s="12">
        <f>C2/C6</f>
        <v>2</v>
      </c>
      <c r="D20" s="11" t="s">
        <v>35</v>
      </c>
      <c r="E20" s="9"/>
    </row>
    <row r="21" spans="1:11" x14ac:dyDescent="0.25">
      <c r="A21" s="11">
        <v>8</v>
      </c>
      <c r="B21" s="11" t="s">
        <v>22</v>
      </c>
      <c r="C21" s="26">
        <f>C2/G26</f>
        <v>2.1331058020477816</v>
      </c>
      <c r="D21" s="11" t="s">
        <v>35</v>
      </c>
      <c r="E21" s="9" t="str">
        <f>IF(C16&gt;C10,"ACEITAR PROJETO","NÃO ACEITAR PROJETO")</f>
        <v>ACEITAR PROJETO</v>
      </c>
    </row>
    <row r="23" spans="1:11" x14ac:dyDescent="0.25">
      <c r="G23" s="24"/>
    </row>
    <row r="24" spans="1:11" x14ac:dyDescent="0.25">
      <c r="A24" s="9" t="s">
        <v>37</v>
      </c>
      <c r="B24" s="16" t="s">
        <v>36</v>
      </c>
      <c r="C24" s="16" t="s">
        <v>26</v>
      </c>
      <c r="D24" s="16"/>
      <c r="E24" s="16"/>
      <c r="F24" s="16"/>
      <c r="G24" s="16" t="s">
        <v>27</v>
      </c>
      <c r="H24" s="16" t="s">
        <v>30</v>
      </c>
      <c r="I24" s="16" t="s">
        <v>28</v>
      </c>
      <c r="J24" s="16" t="s">
        <v>29</v>
      </c>
    </row>
    <row r="25" spans="1:11" x14ac:dyDescent="0.25">
      <c r="A25" s="17">
        <v>0</v>
      </c>
      <c r="B25" s="18">
        <v>0</v>
      </c>
      <c r="C25" s="18">
        <f>C2</f>
        <v>10000</v>
      </c>
      <c r="D25" s="18"/>
      <c r="E25" s="18"/>
      <c r="F25" s="18"/>
      <c r="G25" s="18">
        <f>(B25-D25-E25-F25)-C25</f>
        <v>-10000</v>
      </c>
      <c r="H25" s="19">
        <f>PV(C5,A25,0,-(B25-C25))</f>
        <v>-10000</v>
      </c>
      <c r="I25" s="18"/>
      <c r="J25" s="18"/>
    </row>
    <row r="26" spans="1:11" x14ac:dyDescent="0.25">
      <c r="A26" s="17">
        <v>1</v>
      </c>
      <c r="B26" s="18">
        <f>$C$6</f>
        <v>5000</v>
      </c>
      <c r="C26" s="18">
        <f>$C$9+$C$8+$C$6*$C$7</f>
        <v>312</v>
      </c>
      <c r="D26" s="18"/>
      <c r="E26" s="18"/>
      <c r="F26" s="18"/>
      <c r="G26" s="18">
        <f>B26-C26</f>
        <v>4688</v>
      </c>
      <c r="H26" s="19">
        <f t="shared" ref="H26:H57" si="0">PV($C$5,A26,0,-(B26-C26))</f>
        <v>4596.0784313725489</v>
      </c>
      <c r="I26" s="18"/>
      <c r="J26" s="18"/>
      <c r="K26" s="15"/>
    </row>
    <row r="27" spans="1:11" x14ac:dyDescent="0.25">
      <c r="A27" s="17">
        <v>2</v>
      </c>
      <c r="B27" s="18">
        <f t="shared" ref="B27:B90" si="1">$C$6</f>
        <v>5000</v>
      </c>
      <c r="C27" s="18">
        <f t="shared" ref="C27:C90" si="2">$C$9+$C$8+$C$6*$C$7</f>
        <v>312</v>
      </c>
      <c r="D27" s="18"/>
      <c r="E27" s="18"/>
      <c r="F27" s="18"/>
      <c r="G27" s="18">
        <f t="shared" ref="G27:G90" si="3">B27-C27</f>
        <v>4688</v>
      </c>
      <c r="H27" s="19">
        <f t="shared" si="0"/>
        <v>4505.9592464436755</v>
      </c>
      <c r="I27" s="18"/>
      <c r="J27" s="18"/>
      <c r="K27" s="15"/>
    </row>
    <row r="28" spans="1:11" x14ac:dyDescent="0.25">
      <c r="A28" s="17">
        <v>3</v>
      </c>
      <c r="B28" s="18">
        <f t="shared" si="1"/>
        <v>5000</v>
      </c>
      <c r="C28" s="18">
        <f t="shared" si="2"/>
        <v>312</v>
      </c>
      <c r="D28" s="18"/>
      <c r="E28" s="18"/>
      <c r="F28" s="18"/>
      <c r="G28" s="18">
        <f t="shared" si="3"/>
        <v>4688</v>
      </c>
      <c r="H28" s="19">
        <f t="shared" si="0"/>
        <v>4417.6071043565453</v>
      </c>
      <c r="I28" s="18"/>
      <c r="J28" s="18"/>
      <c r="K28" s="15"/>
    </row>
    <row r="29" spans="1:11" x14ac:dyDescent="0.25">
      <c r="A29" s="17">
        <v>4</v>
      </c>
      <c r="B29" s="18">
        <f t="shared" si="1"/>
        <v>5000</v>
      </c>
      <c r="C29" s="18">
        <f t="shared" si="2"/>
        <v>312</v>
      </c>
      <c r="D29" s="18"/>
      <c r="E29" s="18"/>
      <c r="F29" s="18"/>
      <c r="G29" s="18">
        <f t="shared" si="3"/>
        <v>4688</v>
      </c>
      <c r="H29" s="19">
        <f t="shared" si="0"/>
        <v>4330.9873572122988</v>
      </c>
      <c r="I29" s="18"/>
      <c r="J29" s="18"/>
      <c r="K29" s="15"/>
    </row>
    <row r="30" spans="1:11" x14ac:dyDescent="0.25">
      <c r="A30" s="17">
        <v>5</v>
      </c>
      <c r="B30" s="18">
        <f t="shared" si="1"/>
        <v>5000</v>
      </c>
      <c r="C30" s="18">
        <f t="shared" si="2"/>
        <v>312</v>
      </c>
      <c r="D30" s="18"/>
      <c r="E30" s="18"/>
      <c r="F30" s="18"/>
      <c r="G30" s="18">
        <f t="shared" si="3"/>
        <v>4688</v>
      </c>
      <c r="H30" s="19">
        <f t="shared" si="0"/>
        <v>4246.0660364826454</v>
      </c>
      <c r="I30" s="18"/>
      <c r="J30" s="18"/>
      <c r="K30" s="15"/>
    </row>
    <row r="31" spans="1:11" x14ac:dyDescent="0.25">
      <c r="A31" s="17">
        <v>6</v>
      </c>
      <c r="B31" s="18">
        <f t="shared" si="1"/>
        <v>5000</v>
      </c>
      <c r="C31" s="18">
        <f t="shared" si="2"/>
        <v>312</v>
      </c>
      <c r="D31" s="18"/>
      <c r="E31" s="18"/>
      <c r="F31" s="18"/>
      <c r="G31" s="18">
        <f t="shared" si="3"/>
        <v>4688</v>
      </c>
      <c r="H31" s="19">
        <f t="shared" si="0"/>
        <v>4162.8098396888681</v>
      </c>
      <c r="I31" s="18"/>
      <c r="J31" s="18"/>
      <c r="K31" s="15"/>
    </row>
    <row r="32" spans="1:11" x14ac:dyDescent="0.25">
      <c r="A32" s="17">
        <v>7</v>
      </c>
      <c r="B32" s="18">
        <f t="shared" si="1"/>
        <v>5000</v>
      </c>
      <c r="C32" s="18">
        <f t="shared" si="2"/>
        <v>312</v>
      </c>
      <c r="D32" s="18"/>
      <c r="E32" s="18"/>
      <c r="F32" s="18"/>
      <c r="G32" s="18">
        <f t="shared" si="3"/>
        <v>4688</v>
      </c>
      <c r="H32" s="19">
        <f t="shared" si="0"/>
        <v>4081.1861173420284</v>
      </c>
      <c r="I32" s="18"/>
      <c r="J32" s="18"/>
      <c r="K32" s="15"/>
    </row>
    <row r="33" spans="1:11" x14ac:dyDescent="0.25">
      <c r="A33" s="17">
        <v>8</v>
      </c>
      <c r="B33" s="18">
        <f t="shared" si="1"/>
        <v>5000</v>
      </c>
      <c r="C33" s="18">
        <f t="shared" si="2"/>
        <v>312</v>
      </c>
      <c r="D33" s="18"/>
      <c r="E33" s="18"/>
      <c r="F33" s="18"/>
      <c r="G33" s="18">
        <f t="shared" si="3"/>
        <v>4688</v>
      </c>
      <c r="H33" s="19">
        <f t="shared" si="0"/>
        <v>4001.1628601392431</v>
      </c>
      <c r="I33" s="18"/>
      <c r="J33" s="18"/>
      <c r="K33" s="15"/>
    </row>
    <row r="34" spans="1:11" x14ac:dyDescent="0.25">
      <c r="A34" s="17">
        <v>9</v>
      </c>
      <c r="B34" s="18">
        <f t="shared" si="1"/>
        <v>5000</v>
      </c>
      <c r="C34" s="18">
        <f t="shared" si="2"/>
        <v>312</v>
      </c>
      <c r="D34" s="18"/>
      <c r="E34" s="18"/>
      <c r="F34" s="18"/>
      <c r="G34" s="18">
        <f t="shared" si="3"/>
        <v>4688</v>
      </c>
      <c r="H34" s="19">
        <f t="shared" si="0"/>
        <v>3922.7086864110229</v>
      </c>
      <c r="I34" s="18"/>
      <c r="J34" s="18"/>
      <c r="K34" s="15"/>
    </row>
    <row r="35" spans="1:11" x14ac:dyDescent="0.25">
      <c r="A35" s="17">
        <v>10</v>
      </c>
      <c r="B35" s="18">
        <f t="shared" si="1"/>
        <v>5000</v>
      </c>
      <c r="C35" s="18">
        <f t="shared" si="2"/>
        <v>312</v>
      </c>
      <c r="D35" s="18"/>
      <c r="E35" s="18"/>
      <c r="F35" s="18"/>
      <c r="G35" s="18">
        <f t="shared" si="3"/>
        <v>4688</v>
      </c>
      <c r="H35" s="19">
        <f t="shared" si="0"/>
        <v>3845.7928298147281</v>
      </c>
      <c r="I35" s="18"/>
      <c r="J35" s="18"/>
      <c r="K35" s="15"/>
    </row>
    <row r="36" spans="1:11" x14ac:dyDescent="0.25">
      <c r="A36" s="17">
        <v>11</v>
      </c>
      <c r="B36" s="18">
        <f t="shared" si="1"/>
        <v>5000</v>
      </c>
      <c r="C36" s="18">
        <f t="shared" si="2"/>
        <v>312</v>
      </c>
      <c r="D36" s="18"/>
      <c r="E36" s="18"/>
      <c r="F36" s="18"/>
      <c r="G36" s="18">
        <f t="shared" si="3"/>
        <v>4688</v>
      </c>
      <c r="H36" s="19">
        <f t="shared" si="0"/>
        <v>3770.3851272693419</v>
      </c>
      <c r="I36" s="18"/>
      <c r="J36" s="18"/>
      <c r="K36" s="15"/>
    </row>
    <row r="37" spans="1:11" x14ac:dyDescent="0.25">
      <c r="A37" s="17">
        <v>12</v>
      </c>
      <c r="B37" s="18">
        <f t="shared" si="1"/>
        <v>5000</v>
      </c>
      <c r="C37" s="18">
        <f t="shared" si="2"/>
        <v>312</v>
      </c>
      <c r="D37" s="18"/>
      <c r="E37" s="18"/>
      <c r="F37" s="18"/>
      <c r="G37" s="18">
        <f t="shared" si="3"/>
        <v>4688</v>
      </c>
      <c r="H37" s="19">
        <f t="shared" si="0"/>
        <v>3696.4560071268052</v>
      </c>
      <c r="I37" s="18"/>
      <c r="J37" s="18"/>
      <c r="K37" s="15"/>
    </row>
    <row r="38" spans="1:11" x14ac:dyDescent="0.25">
      <c r="A38" s="17">
        <v>13</v>
      </c>
      <c r="B38" s="18">
        <f t="shared" si="1"/>
        <v>5000</v>
      </c>
      <c r="C38" s="18">
        <f t="shared" si="2"/>
        <v>312</v>
      </c>
      <c r="D38" s="18"/>
      <c r="E38" s="18"/>
      <c r="F38" s="18"/>
      <c r="G38" s="18">
        <f t="shared" si="3"/>
        <v>4688</v>
      </c>
      <c r="H38" s="19">
        <f t="shared" si="0"/>
        <v>3623.9764775752992</v>
      </c>
      <c r="I38" s="18"/>
      <c r="J38" s="18"/>
      <c r="K38" s="15"/>
    </row>
    <row r="39" spans="1:11" x14ac:dyDescent="0.25">
      <c r="A39" s="17">
        <v>14</v>
      </c>
      <c r="B39" s="18">
        <f t="shared" si="1"/>
        <v>5000</v>
      </c>
      <c r="C39" s="18">
        <f t="shared" si="2"/>
        <v>312</v>
      </c>
      <c r="D39" s="18"/>
      <c r="E39" s="18"/>
      <c r="F39" s="18"/>
      <c r="G39" s="18">
        <f t="shared" si="3"/>
        <v>4688</v>
      </c>
      <c r="H39" s="19">
        <f t="shared" si="0"/>
        <v>3552.9181152699011</v>
      </c>
      <c r="I39" s="18"/>
      <c r="J39" s="18"/>
      <c r="K39" s="15"/>
    </row>
    <row r="40" spans="1:11" x14ac:dyDescent="0.25">
      <c r="A40" s="17">
        <v>15</v>
      </c>
      <c r="B40" s="18">
        <f t="shared" si="1"/>
        <v>5000</v>
      </c>
      <c r="C40" s="18">
        <f t="shared" si="2"/>
        <v>312</v>
      </c>
      <c r="D40" s="18"/>
      <c r="E40" s="18"/>
      <c r="F40" s="18"/>
      <c r="G40" s="18">
        <f t="shared" si="3"/>
        <v>4688</v>
      </c>
      <c r="H40" s="19">
        <f t="shared" si="0"/>
        <v>3483.2530541861784</v>
      </c>
      <c r="I40" s="18"/>
      <c r="J40" s="18"/>
      <c r="K40" s="15"/>
    </row>
    <row r="41" spans="1:11" x14ac:dyDescent="0.25">
      <c r="A41" s="17">
        <v>16</v>
      </c>
      <c r="B41" s="18">
        <f t="shared" si="1"/>
        <v>5000</v>
      </c>
      <c r="C41" s="18">
        <f t="shared" si="2"/>
        <v>312</v>
      </c>
      <c r="D41" s="18"/>
      <c r="E41" s="18"/>
      <c r="F41" s="18"/>
      <c r="G41" s="18">
        <f t="shared" si="3"/>
        <v>4688</v>
      </c>
      <c r="H41" s="19">
        <f t="shared" si="0"/>
        <v>3414.953974692331</v>
      </c>
      <c r="I41" s="18"/>
      <c r="J41" s="18"/>
      <c r="K41" s="15"/>
    </row>
    <row r="42" spans="1:11" x14ac:dyDescent="0.25">
      <c r="A42" s="17">
        <v>17</v>
      </c>
      <c r="B42" s="18">
        <f t="shared" si="1"/>
        <v>5000</v>
      </c>
      <c r="C42" s="18">
        <f t="shared" si="2"/>
        <v>312</v>
      </c>
      <c r="D42" s="18"/>
      <c r="E42" s="18"/>
      <c r="F42" s="18"/>
      <c r="G42" s="18">
        <f t="shared" si="3"/>
        <v>4688</v>
      </c>
      <c r="H42" s="19">
        <f t="shared" si="0"/>
        <v>3347.9940928356186</v>
      </c>
      <c r="I42" s="18"/>
      <c r="J42" s="18"/>
      <c r="K42" s="15"/>
    </row>
    <row r="43" spans="1:11" x14ac:dyDescent="0.25">
      <c r="A43" s="17">
        <v>18</v>
      </c>
      <c r="B43" s="18">
        <f t="shared" si="1"/>
        <v>5000</v>
      </c>
      <c r="C43" s="18">
        <f t="shared" si="2"/>
        <v>312</v>
      </c>
      <c r="D43" s="18"/>
      <c r="E43" s="18"/>
      <c r="F43" s="18"/>
      <c r="G43" s="18">
        <f t="shared" si="3"/>
        <v>4688</v>
      </c>
      <c r="H43" s="19">
        <f t="shared" si="0"/>
        <v>3282.3471498388421</v>
      </c>
      <c r="I43" s="18"/>
      <c r="J43" s="18"/>
      <c r="K43" s="15"/>
    </row>
    <row r="44" spans="1:11" x14ac:dyDescent="0.25">
      <c r="A44" s="17">
        <v>19</v>
      </c>
      <c r="B44" s="18">
        <f t="shared" si="1"/>
        <v>5000</v>
      </c>
      <c r="C44" s="18">
        <f t="shared" si="2"/>
        <v>312</v>
      </c>
      <c r="D44" s="18"/>
      <c r="E44" s="18"/>
      <c r="F44" s="18"/>
      <c r="G44" s="18">
        <f t="shared" si="3"/>
        <v>4688</v>
      </c>
      <c r="H44" s="19">
        <f t="shared" si="0"/>
        <v>3217.9874018027863</v>
      </c>
      <c r="I44" s="18"/>
      <c r="J44" s="18"/>
      <c r="K44" s="15"/>
    </row>
    <row r="45" spans="1:11" x14ac:dyDescent="0.25">
      <c r="A45" s="17">
        <v>20</v>
      </c>
      <c r="B45" s="18">
        <f t="shared" si="1"/>
        <v>5000</v>
      </c>
      <c r="C45" s="18">
        <f t="shared" si="2"/>
        <v>312</v>
      </c>
      <c r="D45" s="18"/>
      <c r="E45" s="18"/>
      <c r="F45" s="18"/>
      <c r="G45" s="18">
        <f t="shared" si="3"/>
        <v>4688</v>
      </c>
      <c r="H45" s="19">
        <f t="shared" si="0"/>
        <v>3154.8896096105746</v>
      </c>
      <c r="I45" s="18"/>
      <c r="J45" s="18"/>
      <c r="K45" s="15"/>
    </row>
    <row r="46" spans="1:11" x14ac:dyDescent="0.25">
      <c r="A46" s="17">
        <v>21</v>
      </c>
      <c r="B46" s="18">
        <f t="shared" si="1"/>
        <v>5000</v>
      </c>
      <c r="C46" s="18">
        <f t="shared" si="2"/>
        <v>312</v>
      </c>
      <c r="D46" s="18"/>
      <c r="E46" s="18"/>
      <c r="F46" s="18"/>
      <c r="G46" s="18">
        <f t="shared" si="3"/>
        <v>4688</v>
      </c>
      <c r="H46" s="19">
        <f t="shared" si="0"/>
        <v>3093.0290290299754</v>
      </c>
      <c r="I46" s="18"/>
      <c r="J46" s="18"/>
      <c r="K46" s="15"/>
    </row>
    <row r="47" spans="1:11" x14ac:dyDescent="0.25">
      <c r="A47" s="17">
        <v>22</v>
      </c>
      <c r="B47" s="18">
        <f t="shared" si="1"/>
        <v>5000</v>
      </c>
      <c r="C47" s="18">
        <f t="shared" si="2"/>
        <v>312</v>
      </c>
      <c r="D47" s="18"/>
      <c r="E47" s="18"/>
      <c r="F47" s="18"/>
      <c r="G47" s="18">
        <f t="shared" si="3"/>
        <v>4688</v>
      </c>
      <c r="H47" s="19">
        <f t="shared" si="0"/>
        <v>3032.3814010097794</v>
      </c>
      <c r="I47" s="18"/>
      <c r="J47" s="18"/>
      <c r="K47" s="15"/>
    </row>
    <row r="48" spans="1:11" x14ac:dyDescent="0.25">
      <c r="A48" s="17">
        <v>23</v>
      </c>
      <c r="B48" s="18">
        <f t="shared" si="1"/>
        <v>5000</v>
      </c>
      <c r="C48" s="18">
        <f t="shared" si="2"/>
        <v>312</v>
      </c>
      <c r="D48" s="18"/>
      <c r="E48" s="18"/>
      <c r="F48" s="18"/>
      <c r="G48" s="18">
        <f t="shared" si="3"/>
        <v>4688</v>
      </c>
      <c r="H48" s="19">
        <f t="shared" si="0"/>
        <v>2972.9229421664513</v>
      </c>
      <c r="I48" s="18"/>
      <c r="J48" s="18"/>
      <c r="K48" s="15"/>
    </row>
    <row r="49" spans="1:11" x14ac:dyDescent="0.25">
      <c r="A49" s="17">
        <v>24</v>
      </c>
      <c r="B49" s="18">
        <f t="shared" si="1"/>
        <v>5000</v>
      </c>
      <c r="C49" s="18">
        <f t="shared" si="2"/>
        <v>312</v>
      </c>
      <c r="D49" s="18"/>
      <c r="E49" s="18"/>
      <c r="F49" s="18"/>
      <c r="G49" s="18">
        <f t="shared" si="3"/>
        <v>4688</v>
      </c>
      <c r="H49" s="19">
        <f t="shared" si="0"/>
        <v>2914.6303354573051</v>
      </c>
      <c r="I49" s="18"/>
      <c r="J49" s="18"/>
      <c r="K49" s="15"/>
    </row>
    <row r="50" spans="1:11" x14ac:dyDescent="0.25">
      <c r="A50" s="17">
        <v>25</v>
      </c>
      <c r="B50" s="18">
        <f t="shared" si="1"/>
        <v>5000</v>
      </c>
      <c r="C50" s="18">
        <f t="shared" si="2"/>
        <v>312</v>
      </c>
      <c r="D50" s="18"/>
      <c r="E50" s="18"/>
      <c r="F50" s="18"/>
      <c r="G50" s="18">
        <f t="shared" si="3"/>
        <v>4688</v>
      </c>
      <c r="H50" s="19">
        <f t="shared" si="0"/>
        <v>2857.4807210365734</v>
      </c>
      <c r="I50" s="18"/>
      <c r="J50" s="18"/>
      <c r="K50" s="15"/>
    </row>
    <row r="51" spans="1:11" x14ac:dyDescent="0.25">
      <c r="A51" s="17">
        <v>26</v>
      </c>
      <c r="B51" s="18">
        <f t="shared" si="1"/>
        <v>5000</v>
      </c>
      <c r="C51" s="18">
        <f t="shared" si="2"/>
        <v>312</v>
      </c>
      <c r="D51" s="18"/>
      <c r="E51" s="18"/>
      <c r="F51" s="18"/>
      <c r="G51" s="18">
        <f t="shared" si="3"/>
        <v>4688</v>
      </c>
      <c r="H51" s="19">
        <f t="shared" si="0"/>
        <v>2801.4516872907579</v>
      </c>
      <c r="I51" s="18"/>
      <c r="J51" s="18"/>
      <c r="K51" s="15"/>
    </row>
    <row r="52" spans="1:11" x14ac:dyDescent="0.25">
      <c r="A52" s="17">
        <v>27</v>
      </c>
      <c r="B52" s="18">
        <f t="shared" si="1"/>
        <v>5000</v>
      </c>
      <c r="C52" s="18">
        <f t="shared" si="2"/>
        <v>312</v>
      </c>
      <c r="D52" s="18"/>
      <c r="E52" s="18"/>
      <c r="F52" s="18"/>
      <c r="G52" s="18">
        <f t="shared" si="3"/>
        <v>4688</v>
      </c>
      <c r="H52" s="19">
        <f t="shared" si="0"/>
        <v>2746.5212620497632</v>
      </c>
      <c r="I52" s="18"/>
      <c r="J52" s="18"/>
      <c r="K52" s="15"/>
    </row>
    <row r="53" spans="1:11" x14ac:dyDescent="0.25">
      <c r="A53" s="17">
        <v>28</v>
      </c>
      <c r="B53" s="18">
        <f t="shared" si="1"/>
        <v>5000</v>
      </c>
      <c r="C53" s="18">
        <f t="shared" si="2"/>
        <v>312</v>
      </c>
      <c r="D53" s="18"/>
      <c r="E53" s="18"/>
      <c r="F53" s="18"/>
      <c r="G53" s="18">
        <f t="shared" si="3"/>
        <v>4688</v>
      </c>
      <c r="H53" s="19">
        <f t="shared" si="0"/>
        <v>2692.6679039703554</v>
      </c>
      <c r="I53" s="18"/>
      <c r="J53" s="18"/>
      <c r="K53" s="15"/>
    </row>
    <row r="54" spans="1:11" x14ac:dyDescent="0.25">
      <c r="A54" s="17">
        <v>29</v>
      </c>
      <c r="B54" s="18">
        <f t="shared" si="1"/>
        <v>5000</v>
      </c>
      <c r="C54" s="18">
        <f t="shared" si="2"/>
        <v>312</v>
      </c>
      <c r="D54" s="18"/>
      <c r="E54" s="18"/>
      <c r="F54" s="18"/>
      <c r="G54" s="18">
        <f t="shared" si="3"/>
        <v>4688</v>
      </c>
      <c r="H54" s="19">
        <f t="shared" si="0"/>
        <v>2639.8704940885841</v>
      </c>
      <c r="I54" s="18"/>
      <c r="J54" s="18"/>
      <c r="K54" s="15"/>
    </row>
    <row r="55" spans="1:11" x14ac:dyDescent="0.25">
      <c r="A55" s="17">
        <v>30</v>
      </c>
      <c r="B55" s="18">
        <f t="shared" si="1"/>
        <v>5000</v>
      </c>
      <c r="C55" s="18">
        <f t="shared" si="2"/>
        <v>312</v>
      </c>
      <c r="D55" s="18"/>
      <c r="E55" s="18"/>
      <c r="F55" s="18"/>
      <c r="G55" s="18">
        <f t="shared" si="3"/>
        <v>4688</v>
      </c>
      <c r="H55" s="19">
        <f t="shared" si="0"/>
        <v>2588.1083275378273</v>
      </c>
      <c r="I55" s="18"/>
      <c r="J55" s="18"/>
      <c r="K55" s="15"/>
    </row>
    <row r="56" spans="1:11" x14ac:dyDescent="0.25">
      <c r="A56" s="17">
        <v>31</v>
      </c>
      <c r="B56" s="18">
        <f t="shared" si="1"/>
        <v>5000</v>
      </c>
      <c r="C56" s="18">
        <f t="shared" si="2"/>
        <v>312</v>
      </c>
      <c r="D56" s="18"/>
      <c r="E56" s="18"/>
      <c r="F56" s="18"/>
      <c r="G56" s="18">
        <f t="shared" si="3"/>
        <v>4688</v>
      </c>
      <c r="H56" s="19">
        <f t="shared" si="0"/>
        <v>2537.3611054292433</v>
      </c>
      <c r="I56" s="18"/>
      <c r="J56" s="18"/>
      <c r="K56" s="15"/>
    </row>
    <row r="57" spans="1:11" x14ac:dyDescent="0.25">
      <c r="A57" s="17">
        <v>32</v>
      </c>
      <c r="B57" s="18">
        <f t="shared" si="1"/>
        <v>5000</v>
      </c>
      <c r="C57" s="18">
        <f t="shared" si="2"/>
        <v>312</v>
      </c>
      <c r="D57" s="18"/>
      <c r="E57" s="18"/>
      <c r="F57" s="18"/>
      <c r="G57" s="18">
        <f t="shared" si="3"/>
        <v>4688</v>
      </c>
      <c r="H57" s="19">
        <f t="shared" si="0"/>
        <v>2487.6089268914143</v>
      </c>
      <c r="I57" s="18"/>
      <c r="J57" s="18"/>
      <c r="K57" s="15"/>
    </row>
    <row r="58" spans="1:11" x14ac:dyDescent="0.25">
      <c r="A58" s="17">
        <v>33</v>
      </c>
      <c r="B58" s="18">
        <f t="shared" si="1"/>
        <v>5000</v>
      </c>
      <c r="C58" s="18">
        <f t="shared" si="2"/>
        <v>312</v>
      </c>
      <c r="D58" s="18"/>
      <c r="E58" s="18"/>
      <c r="F58" s="18"/>
      <c r="G58" s="18">
        <f t="shared" si="3"/>
        <v>4688</v>
      </c>
      <c r="H58" s="19">
        <f t="shared" ref="H58:H89" si="4">PV($C$5,A58,0,-(B58-C58))</f>
        <v>2438.8322812660922</v>
      </c>
      <c r="I58" s="18"/>
      <c r="J58" s="18"/>
      <c r="K58" s="15"/>
    </row>
    <row r="59" spans="1:11" x14ac:dyDescent="0.25">
      <c r="A59" s="17">
        <v>34</v>
      </c>
      <c r="B59" s="18">
        <f t="shared" si="1"/>
        <v>5000</v>
      </c>
      <c r="C59" s="18">
        <f t="shared" si="2"/>
        <v>312</v>
      </c>
      <c r="D59" s="18"/>
      <c r="E59" s="18"/>
      <c r="F59" s="18"/>
      <c r="G59" s="18">
        <f t="shared" si="3"/>
        <v>4688</v>
      </c>
      <c r="H59" s="19">
        <f t="shared" si="4"/>
        <v>2391.0120404569534</v>
      </c>
      <c r="I59" s="18"/>
      <c r="J59" s="18"/>
      <c r="K59" s="15"/>
    </row>
    <row r="60" spans="1:11" x14ac:dyDescent="0.25">
      <c r="A60" s="17">
        <v>35</v>
      </c>
      <c r="B60" s="18">
        <f t="shared" si="1"/>
        <v>5000</v>
      </c>
      <c r="C60" s="18">
        <f t="shared" si="2"/>
        <v>312</v>
      </c>
      <c r="D60" s="18"/>
      <c r="E60" s="18"/>
      <c r="F60" s="18"/>
      <c r="G60" s="18">
        <f t="shared" si="3"/>
        <v>4688</v>
      </c>
      <c r="H60" s="19">
        <f t="shared" si="4"/>
        <v>2344.1294514283859</v>
      </c>
      <c r="I60" s="18"/>
      <c r="J60" s="18"/>
      <c r="K60" s="15"/>
    </row>
    <row r="61" spans="1:11" x14ac:dyDescent="0.25">
      <c r="A61" s="17">
        <v>36</v>
      </c>
      <c r="B61" s="18">
        <f t="shared" si="1"/>
        <v>5000</v>
      </c>
      <c r="C61" s="18">
        <f t="shared" si="2"/>
        <v>312</v>
      </c>
      <c r="D61" s="18"/>
      <c r="E61" s="18"/>
      <c r="F61" s="18"/>
      <c r="G61" s="18">
        <f t="shared" si="3"/>
        <v>4688</v>
      </c>
      <c r="H61" s="19">
        <f t="shared" si="4"/>
        <v>2298.1661288513587</v>
      </c>
      <c r="I61" s="18"/>
      <c r="J61" s="18"/>
      <c r="K61" s="15"/>
    </row>
    <row r="62" spans="1:11" x14ac:dyDescent="0.25">
      <c r="A62" s="17">
        <v>37</v>
      </c>
      <c r="B62" s="18">
        <f t="shared" si="1"/>
        <v>5000</v>
      </c>
      <c r="C62" s="18">
        <f t="shared" si="2"/>
        <v>312</v>
      </c>
      <c r="D62" s="18"/>
      <c r="E62" s="18"/>
      <c r="F62" s="18"/>
      <c r="G62" s="18">
        <f t="shared" si="3"/>
        <v>4688</v>
      </c>
      <c r="H62" s="19">
        <f t="shared" si="4"/>
        <v>2253.1040478934888</v>
      </c>
      <c r="I62" s="18"/>
      <c r="J62" s="18"/>
      <c r="K62" s="15"/>
    </row>
    <row r="63" spans="1:11" x14ac:dyDescent="0.25">
      <c r="A63" s="17">
        <v>38</v>
      </c>
      <c r="B63" s="18">
        <f t="shared" si="1"/>
        <v>5000</v>
      </c>
      <c r="C63" s="18">
        <f t="shared" si="2"/>
        <v>312</v>
      </c>
      <c r="D63" s="18"/>
      <c r="E63" s="18"/>
      <c r="F63" s="18"/>
      <c r="G63" s="18">
        <f t="shared" si="3"/>
        <v>4688</v>
      </c>
      <c r="H63" s="19">
        <f t="shared" si="4"/>
        <v>2208.9255371504792</v>
      </c>
      <c r="I63" s="18"/>
      <c r="J63" s="18"/>
      <c r="K63" s="15"/>
    </row>
    <row r="64" spans="1:11" x14ac:dyDescent="0.25">
      <c r="A64" s="17">
        <v>39</v>
      </c>
      <c r="B64" s="18">
        <f t="shared" si="1"/>
        <v>5000</v>
      </c>
      <c r="C64" s="18">
        <f t="shared" si="2"/>
        <v>312</v>
      </c>
      <c r="D64" s="18"/>
      <c r="E64" s="18"/>
      <c r="F64" s="18"/>
      <c r="G64" s="18">
        <f t="shared" si="3"/>
        <v>4688</v>
      </c>
      <c r="H64" s="19">
        <f t="shared" si="4"/>
        <v>2165.6132717161568</v>
      </c>
      <c r="I64" s="18"/>
      <c r="J64" s="18"/>
      <c r="K64" s="15"/>
    </row>
    <row r="65" spans="1:11" x14ac:dyDescent="0.25">
      <c r="A65" s="17">
        <v>40</v>
      </c>
      <c r="B65" s="18">
        <f t="shared" si="1"/>
        <v>5000</v>
      </c>
      <c r="C65" s="18">
        <f t="shared" si="2"/>
        <v>312</v>
      </c>
      <c r="D65" s="18"/>
      <c r="E65" s="18"/>
      <c r="F65" s="18"/>
      <c r="G65" s="18">
        <f t="shared" si="3"/>
        <v>4688</v>
      </c>
      <c r="H65" s="19">
        <f t="shared" si="4"/>
        <v>2123.1502663883884</v>
      </c>
      <c r="I65" s="18"/>
      <c r="J65" s="18"/>
      <c r="K65" s="15"/>
    </row>
    <row r="66" spans="1:11" x14ac:dyDescent="0.25">
      <c r="A66" s="17">
        <v>41</v>
      </c>
      <c r="B66" s="18">
        <f t="shared" si="1"/>
        <v>5000</v>
      </c>
      <c r="C66" s="18">
        <f t="shared" si="2"/>
        <v>312</v>
      </c>
      <c r="D66" s="18"/>
      <c r="E66" s="18"/>
      <c r="F66" s="18"/>
      <c r="G66" s="18">
        <f t="shared" si="3"/>
        <v>4688</v>
      </c>
      <c r="H66" s="19">
        <f t="shared" si="4"/>
        <v>2081.5198690082238</v>
      </c>
      <c r="I66" s="18"/>
      <c r="J66" s="18"/>
      <c r="K66" s="15"/>
    </row>
    <row r="67" spans="1:11" x14ac:dyDescent="0.25">
      <c r="A67" s="17">
        <v>42</v>
      </c>
      <c r="B67" s="18">
        <f t="shared" si="1"/>
        <v>5000</v>
      </c>
      <c r="C67" s="18">
        <f t="shared" si="2"/>
        <v>312</v>
      </c>
      <c r="D67" s="18"/>
      <c r="E67" s="18"/>
      <c r="F67" s="18"/>
      <c r="G67" s="18">
        <f t="shared" si="3"/>
        <v>4688</v>
      </c>
      <c r="H67" s="19">
        <f t="shared" si="4"/>
        <v>2040.7057539296313</v>
      </c>
      <c r="I67" s="18"/>
      <c r="J67" s="18"/>
      <c r="K67" s="15"/>
    </row>
    <row r="68" spans="1:11" x14ac:dyDescent="0.25">
      <c r="A68" s="17">
        <v>43</v>
      </c>
      <c r="B68" s="18">
        <f t="shared" si="1"/>
        <v>5000</v>
      </c>
      <c r="C68" s="18">
        <f t="shared" si="2"/>
        <v>312</v>
      </c>
      <c r="D68" s="18"/>
      <c r="E68" s="18"/>
      <c r="F68" s="18"/>
      <c r="G68" s="18">
        <f t="shared" si="3"/>
        <v>4688</v>
      </c>
      <c r="H68" s="19">
        <f t="shared" si="4"/>
        <v>2000.6919156172858</v>
      </c>
      <c r="I68" s="18"/>
      <c r="J68" s="18"/>
      <c r="K68" s="15"/>
    </row>
    <row r="69" spans="1:11" x14ac:dyDescent="0.25">
      <c r="A69" s="17">
        <v>44</v>
      </c>
      <c r="B69" s="18">
        <f t="shared" si="1"/>
        <v>5000</v>
      </c>
      <c r="C69" s="18">
        <f t="shared" si="2"/>
        <v>312</v>
      </c>
      <c r="D69" s="18"/>
      <c r="E69" s="18"/>
      <c r="F69" s="18"/>
      <c r="G69" s="18">
        <f t="shared" si="3"/>
        <v>4688</v>
      </c>
      <c r="H69" s="19">
        <f t="shared" si="4"/>
        <v>1961.4626623698878</v>
      </c>
      <c r="I69" s="18"/>
      <c r="J69" s="18"/>
      <c r="K69" s="15"/>
    </row>
    <row r="70" spans="1:11" x14ac:dyDescent="0.25">
      <c r="A70" s="17">
        <v>45</v>
      </c>
      <c r="B70" s="18">
        <f t="shared" si="1"/>
        <v>5000</v>
      </c>
      <c r="C70" s="18">
        <f t="shared" si="2"/>
        <v>312</v>
      </c>
      <c r="D70" s="18"/>
      <c r="E70" s="18"/>
      <c r="F70" s="18"/>
      <c r="G70" s="18">
        <f t="shared" si="3"/>
        <v>4688</v>
      </c>
      <c r="H70" s="19">
        <f t="shared" si="4"/>
        <v>1923.0026101665567</v>
      </c>
      <c r="I70" s="18"/>
      <c r="J70" s="18"/>
      <c r="K70" s="15"/>
    </row>
    <row r="71" spans="1:11" x14ac:dyDescent="0.25">
      <c r="A71" s="17">
        <v>46</v>
      </c>
      <c r="B71" s="18">
        <f t="shared" si="1"/>
        <v>5000</v>
      </c>
      <c r="C71" s="18">
        <f t="shared" si="2"/>
        <v>312</v>
      </c>
      <c r="D71" s="18"/>
      <c r="E71" s="18"/>
      <c r="F71" s="18"/>
      <c r="G71" s="18">
        <f t="shared" si="3"/>
        <v>4688</v>
      </c>
      <c r="H71" s="19">
        <f t="shared" si="4"/>
        <v>1885.2966766338789</v>
      </c>
      <c r="I71" s="18"/>
      <c r="J71" s="18"/>
      <c r="K71" s="15"/>
    </row>
    <row r="72" spans="1:11" x14ac:dyDescent="0.25">
      <c r="A72" s="17">
        <v>47</v>
      </c>
      <c r="B72" s="18">
        <f t="shared" si="1"/>
        <v>5000</v>
      </c>
      <c r="C72" s="18">
        <f t="shared" si="2"/>
        <v>312</v>
      </c>
      <c r="D72" s="18"/>
      <c r="E72" s="18"/>
      <c r="F72" s="18"/>
      <c r="G72" s="18">
        <f t="shared" si="3"/>
        <v>4688</v>
      </c>
      <c r="H72" s="19">
        <f t="shared" si="4"/>
        <v>1848.3300751312545</v>
      </c>
      <c r="I72" s="18"/>
      <c r="J72" s="18"/>
      <c r="K72" s="15"/>
    </row>
    <row r="73" spans="1:11" x14ac:dyDescent="0.25">
      <c r="A73" s="17">
        <v>48</v>
      </c>
      <c r="B73" s="18">
        <f t="shared" si="1"/>
        <v>5000</v>
      </c>
      <c r="C73" s="18">
        <f t="shared" si="2"/>
        <v>312</v>
      </c>
      <c r="D73" s="18"/>
      <c r="E73" s="18"/>
      <c r="F73" s="18"/>
      <c r="G73" s="18">
        <f t="shared" si="3"/>
        <v>4688</v>
      </c>
      <c r="H73" s="19">
        <f t="shared" si="4"/>
        <v>1812.0883089522101</v>
      </c>
      <c r="I73" s="18"/>
      <c r="J73" s="18"/>
      <c r="K73" s="15"/>
    </row>
    <row r="74" spans="1:11" x14ac:dyDescent="0.25">
      <c r="A74" s="17">
        <v>49</v>
      </c>
      <c r="B74" s="18">
        <f t="shared" si="1"/>
        <v>5000</v>
      </c>
      <c r="C74" s="18">
        <f t="shared" si="2"/>
        <v>312</v>
      </c>
      <c r="D74" s="18"/>
      <c r="E74" s="18"/>
      <c r="F74" s="18"/>
      <c r="G74" s="18">
        <f t="shared" si="3"/>
        <v>4688</v>
      </c>
      <c r="H74" s="19">
        <f t="shared" si="4"/>
        <v>1776.5571656394216</v>
      </c>
      <c r="I74" s="18"/>
      <c r="J74" s="18"/>
      <c r="K74" s="15"/>
    </row>
    <row r="75" spans="1:11" x14ac:dyDescent="0.25">
      <c r="A75" s="17">
        <v>50</v>
      </c>
      <c r="B75" s="18">
        <f t="shared" si="1"/>
        <v>5000</v>
      </c>
      <c r="C75" s="18">
        <f t="shared" si="2"/>
        <v>312</v>
      </c>
      <c r="D75" s="18"/>
      <c r="E75" s="18"/>
      <c r="F75" s="18"/>
      <c r="G75" s="18">
        <f t="shared" si="3"/>
        <v>4688</v>
      </c>
      <c r="H75" s="19">
        <f t="shared" si="4"/>
        <v>1741.7227114111975</v>
      </c>
      <c r="I75" s="18"/>
      <c r="J75" s="18"/>
      <c r="K75" s="15"/>
    </row>
    <row r="76" spans="1:11" x14ac:dyDescent="0.25">
      <c r="A76" s="17">
        <v>51</v>
      </c>
      <c r="B76" s="18">
        <f t="shared" si="1"/>
        <v>5000</v>
      </c>
      <c r="C76" s="18">
        <f t="shared" si="2"/>
        <v>312</v>
      </c>
      <c r="D76" s="18"/>
      <c r="E76" s="18"/>
      <c r="F76" s="18"/>
      <c r="G76" s="18">
        <f t="shared" si="3"/>
        <v>4688</v>
      </c>
      <c r="H76" s="19">
        <f t="shared" si="4"/>
        <v>1707.5712856972527</v>
      </c>
      <c r="I76" s="18"/>
      <c r="J76" s="18"/>
      <c r="K76" s="15"/>
    </row>
    <row r="77" spans="1:11" x14ac:dyDescent="0.25">
      <c r="A77" s="17">
        <v>52</v>
      </c>
      <c r="B77" s="18">
        <f t="shared" si="1"/>
        <v>5000</v>
      </c>
      <c r="C77" s="18">
        <f t="shared" si="2"/>
        <v>312</v>
      </c>
      <c r="D77" s="18"/>
      <c r="E77" s="18"/>
      <c r="F77" s="18"/>
      <c r="G77" s="18">
        <f t="shared" si="3"/>
        <v>4688</v>
      </c>
      <c r="H77" s="19">
        <f t="shared" si="4"/>
        <v>1674.0894957816199</v>
      </c>
      <c r="I77" s="18"/>
      <c r="J77" s="18"/>
      <c r="K77" s="15"/>
    </row>
    <row r="78" spans="1:11" x14ac:dyDescent="0.25">
      <c r="A78" s="17">
        <v>53</v>
      </c>
      <c r="B78" s="18">
        <f t="shared" si="1"/>
        <v>5000</v>
      </c>
      <c r="C78" s="18">
        <f t="shared" si="2"/>
        <v>312</v>
      </c>
      <c r="D78" s="18"/>
      <c r="E78" s="18"/>
      <c r="F78" s="18"/>
      <c r="G78" s="18">
        <f t="shared" si="3"/>
        <v>4688</v>
      </c>
      <c r="H78" s="19">
        <f t="shared" si="4"/>
        <v>1641.264211550608</v>
      </c>
      <c r="I78" s="18"/>
      <c r="J78" s="18"/>
      <c r="K78" s="15"/>
    </row>
    <row r="79" spans="1:11" x14ac:dyDescent="0.25">
      <c r="A79" s="17">
        <v>54</v>
      </c>
      <c r="B79" s="18">
        <f t="shared" si="1"/>
        <v>5000</v>
      </c>
      <c r="C79" s="18">
        <f t="shared" si="2"/>
        <v>312</v>
      </c>
      <c r="D79" s="18"/>
      <c r="E79" s="18"/>
      <c r="F79" s="18"/>
      <c r="G79" s="18">
        <f t="shared" si="3"/>
        <v>4688</v>
      </c>
      <c r="H79" s="19">
        <f t="shared" si="4"/>
        <v>1609.0825603437331</v>
      </c>
      <c r="I79" s="18"/>
      <c r="J79" s="18"/>
      <c r="K79" s="15"/>
    </row>
    <row r="80" spans="1:11" x14ac:dyDescent="0.25">
      <c r="A80" s="17">
        <v>55</v>
      </c>
      <c r="B80" s="18">
        <f t="shared" si="1"/>
        <v>5000</v>
      </c>
      <c r="C80" s="18">
        <f t="shared" si="2"/>
        <v>312</v>
      </c>
      <c r="D80" s="18"/>
      <c r="E80" s="18"/>
      <c r="F80" s="18"/>
      <c r="G80" s="18">
        <f t="shared" si="3"/>
        <v>4688</v>
      </c>
      <c r="H80" s="19">
        <f t="shared" si="4"/>
        <v>1577.5319219056212</v>
      </c>
      <c r="I80" s="18"/>
      <c r="J80" s="18"/>
      <c r="K80" s="15"/>
    </row>
    <row r="81" spans="1:11" x14ac:dyDescent="0.25">
      <c r="A81" s="17">
        <v>56</v>
      </c>
      <c r="B81" s="18">
        <f t="shared" si="1"/>
        <v>5000</v>
      </c>
      <c r="C81" s="18">
        <f t="shared" si="2"/>
        <v>312</v>
      </c>
      <c r="D81" s="18"/>
      <c r="E81" s="18"/>
      <c r="F81" s="18"/>
      <c r="G81" s="18">
        <f t="shared" si="3"/>
        <v>4688</v>
      </c>
      <c r="H81" s="19">
        <f t="shared" si="4"/>
        <v>1546.5999234368835</v>
      </c>
      <c r="I81" s="18"/>
      <c r="J81" s="18"/>
      <c r="K81" s="15"/>
    </row>
    <row r="82" spans="1:11" x14ac:dyDescent="0.25">
      <c r="A82" s="17">
        <v>57</v>
      </c>
      <c r="B82" s="18">
        <f t="shared" si="1"/>
        <v>5000</v>
      </c>
      <c r="C82" s="18">
        <f t="shared" si="2"/>
        <v>312</v>
      </c>
      <c r="D82" s="18"/>
      <c r="E82" s="18"/>
      <c r="F82" s="18"/>
      <c r="G82" s="18">
        <f t="shared" si="3"/>
        <v>4688</v>
      </c>
      <c r="H82" s="19">
        <f t="shared" si="4"/>
        <v>1516.2744347420426</v>
      </c>
      <c r="I82" s="18"/>
      <c r="J82" s="18"/>
      <c r="K82" s="15"/>
    </row>
    <row r="83" spans="1:11" x14ac:dyDescent="0.25">
      <c r="A83" s="17">
        <v>58</v>
      </c>
      <c r="B83" s="18">
        <f t="shared" si="1"/>
        <v>5000</v>
      </c>
      <c r="C83" s="18">
        <f t="shared" si="2"/>
        <v>312</v>
      </c>
      <c r="D83" s="18"/>
      <c r="E83" s="18"/>
      <c r="F83" s="18"/>
      <c r="G83" s="18">
        <f t="shared" si="3"/>
        <v>4688</v>
      </c>
      <c r="H83" s="19">
        <f t="shared" si="4"/>
        <v>1486.5435634725907</v>
      </c>
      <c r="I83" s="18"/>
      <c r="J83" s="18"/>
      <c r="K83" s="15"/>
    </row>
    <row r="84" spans="1:11" x14ac:dyDescent="0.25">
      <c r="A84" s="17">
        <v>59</v>
      </c>
      <c r="B84" s="18">
        <f t="shared" si="1"/>
        <v>5000</v>
      </c>
      <c r="C84" s="18">
        <f t="shared" si="2"/>
        <v>312</v>
      </c>
      <c r="D84" s="18"/>
      <c r="E84" s="18"/>
      <c r="F84" s="18"/>
      <c r="G84" s="18">
        <f t="shared" si="3"/>
        <v>4688</v>
      </c>
      <c r="H84" s="19">
        <f t="shared" si="4"/>
        <v>1457.3956504633245</v>
      </c>
      <c r="I84" s="18"/>
      <c r="J84" s="18"/>
      <c r="K84" s="15"/>
    </row>
    <row r="85" spans="1:11" x14ac:dyDescent="0.25">
      <c r="A85" s="17">
        <v>60</v>
      </c>
      <c r="B85" s="18">
        <f t="shared" si="1"/>
        <v>5000</v>
      </c>
      <c r="C85" s="18">
        <f t="shared" si="2"/>
        <v>312</v>
      </c>
      <c r="D85" s="18"/>
      <c r="E85" s="18"/>
      <c r="F85" s="18"/>
      <c r="G85" s="18">
        <f t="shared" si="3"/>
        <v>4688</v>
      </c>
      <c r="H85" s="19">
        <f t="shared" si="4"/>
        <v>1428.8192651601216</v>
      </c>
      <c r="I85" s="18"/>
      <c r="J85" s="18"/>
      <c r="K85" s="15"/>
    </row>
    <row r="86" spans="1:11" x14ac:dyDescent="0.25">
      <c r="A86" s="17">
        <v>61</v>
      </c>
      <c r="B86" s="18">
        <f t="shared" si="1"/>
        <v>5000</v>
      </c>
      <c r="C86" s="18">
        <f t="shared" si="2"/>
        <v>312</v>
      </c>
      <c r="D86" s="18"/>
      <c r="E86" s="18"/>
      <c r="F86" s="18"/>
      <c r="G86" s="18">
        <f t="shared" si="3"/>
        <v>4688</v>
      </c>
      <c r="H86" s="19">
        <f t="shared" si="4"/>
        <v>1400.8032011373743</v>
      </c>
      <c r="I86" s="18"/>
      <c r="J86" s="18"/>
      <c r="K86" s="15"/>
    </row>
    <row r="87" spans="1:11" x14ac:dyDescent="0.25">
      <c r="A87" s="17">
        <v>62</v>
      </c>
      <c r="B87" s="18">
        <f t="shared" si="1"/>
        <v>5000</v>
      </c>
      <c r="C87" s="18">
        <f t="shared" si="2"/>
        <v>312</v>
      </c>
      <c r="D87" s="18"/>
      <c r="E87" s="18"/>
      <c r="F87" s="18"/>
      <c r="G87" s="18">
        <f t="shared" si="3"/>
        <v>4688</v>
      </c>
      <c r="H87" s="19">
        <f t="shared" si="4"/>
        <v>1373.336471703308</v>
      </c>
      <c r="I87" s="18"/>
      <c r="J87" s="18"/>
      <c r="K87" s="15"/>
    </row>
    <row r="88" spans="1:11" x14ac:dyDescent="0.25">
      <c r="A88" s="17">
        <v>63</v>
      </c>
      <c r="B88" s="18">
        <f t="shared" si="1"/>
        <v>5000</v>
      </c>
      <c r="C88" s="18">
        <f t="shared" si="2"/>
        <v>312</v>
      </c>
      <c r="D88" s="18"/>
      <c r="E88" s="18"/>
      <c r="F88" s="18"/>
      <c r="G88" s="18">
        <f t="shared" si="3"/>
        <v>4688</v>
      </c>
      <c r="H88" s="19">
        <f t="shared" si="4"/>
        <v>1346.4083055914789</v>
      </c>
      <c r="I88" s="18"/>
      <c r="J88" s="18"/>
      <c r="K88" s="15"/>
    </row>
    <row r="89" spans="1:11" x14ac:dyDescent="0.25">
      <c r="A89" s="17">
        <v>64</v>
      </c>
      <c r="B89" s="18">
        <f t="shared" si="1"/>
        <v>5000</v>
      </c>
      <c r="C89" s="18">
        <f t="shared" si="2"/>
        <v>312</v>
      </c>
      <c r="D89" s="18"/>
      <c r="E89" s="18"/>
      <c r="F89" s="18"/>
      <c r="G89" s="18">
        <f t="shared" si="3"/>
        <v>4688</v>
      </c>
      <c r="H89" s="19">
        <f t="shared" si="4"/>
        <v>1320.0081427367436</v>
      </c>
      <c r="I89" s="18"/>
      <c r="J89" s="18"/>
      <c r="K89" s="15"/>
    </row>
    <row r="90" spans="1:11" x14ac:dyDescent="0.25">
      <c r="A90" s="17">
        <v>65</v>
      </c>
      <c r="B90" s="18">
        <f t="shared" si="1"/>
        <v>5000</v>
      </c>
      <c r="C90" s="18">
        <f t="shared" si="2"/>
        <v>312</v>
      </c>
      <c r="D90" s="18"/>
      <c r="E90" s="18"/>
      <c r="F90" s="18"/>
      <c r="G90" s="18">
        <f t="shared" si="3"/>
        <v>4688</v>
      </c>
      <c r="H90" s="19">
        <f t="shared" ref="H90:H97" si="5">PV($C$5,A90,0,-(B90-C90))</f>
        <v>1294.1256301340622</v>
      </c>
      <c r="I90" s="18"/>
      <c r="J90" s="18"/>
      <c r="K90" s="15"/>
    </row>
    <row r="91" spans="1:11" x14ac:dyDescent="0.25">
      <c r="A91" s="17">
        <v>66</v>
      </c>
      <c r="B91" s="18">
        <f t="shared" ref="B91:B97" si="6">$C$6</f>
        <v>5000</v>
      </c>
      <c r="C91" s="18">
        <f t="shared" ref="C91:C97" si="7">$C$9+$C$8+$C$6*$C$7</f>
        <v>312</v>
      </c>
      <c r="D91" s="18"/>
      <c r="E91" s="18"/>
      <c r="F91" s="18"/>
      <c r="G91" s="18">
        <f t="shared" ref="G91:G96" si="8">B91-C91</f>
        <v>4688</v>
      </c>
      <c r="H91" s="19">
        <f t="shared" si="5"/>
        <v>1268.7506177784926</v>
      </c>
      <c r="I91" s="18"/>
      <c r="J91" s="18"/>
      <c r="K91" s="15"/>
    </row>
    <row r="92" spans="1:11" x14ac:dyDescent="0.25">
      <c r="A92" s="17">
        <v>67</v>
      </c>
      <c r="B92" s="18">
        <f t="shared" si="6"/>
        <v>5000</v>
      </c>
      <c r="C92" s="18">
        <f t="shared" si="7"/>
        <v>312</v>
      </c>
      <c r="D92" s="18"/>
      <c r="E92" s="18"/>
      <c r="F92" s="18"/>
      <c r="G92" s="18">
        <f t="shared" si="8"/>
        <v>4688</v>
      </c>
      <c r="H92" s="19">
        <f t="shared" si="5"/>
        <v>1243.8731546847966</v>
      </c>
      <c r="I92" s="18"/>
      <c r="J92" s="18"/>
      <c r="K92" s="15"/>
    </row>
    <row r="93" spans="1:11" x14ac:dyDescent="0.25">
      <c r="A93" s="17">
        <v>68</v>
      </c>
      <c r="B93" s="18">
        <f t="shared" si="6"/>
        <v>5000</v>
      </c>
      <c r="C93" s="18">
        <f t="shared" si="7"/>
        <v>312</v>
      </c>
      <c r="D93" s="18"/>
      <c r="E93" s="18"/>
      <c r="F93" s="18"/>
      <c r="G93" s="18">
        <f t="shared" si="8"/>
        <v>4688</v>
      </c>
      <c r="H93" s="19">
        <f t="shared" si="5"/>
        <v>1219.4834849850947</v>
      </c>
      <c r="I93" s="18"/>
      <c r="J93" s="18"/>
      <c r="K93" s="15"/>
    </row>
    <row r="94" spans="1:11" x14ac:dyDescent="0.25">
      <c r="A94" s="17">
        <v>69</v>
      </c>
      <c r="B94" s="18">
        <f t="shared" si="6"/>
        <v>5000</v>
      </c>
      <c r="C94" s="18">
        <f t="shared" si="7"/>
        <v>312</v>
      </c>
      <c r="D94" s="18"/>
      <c r="E94" s="18"/>
      <c r="F94" s="18"/>
      <c r="G94" s="18">
        <f t="shared" si="8"/>
        <v>4688</v>
      </c>
      <c r="H94" s="19">
        <f t="shared" si="5"/>
        <v>1195.5720441030342</v>
      </c>
      <c r="I94" s="18"/>
      <c r="J94" s="18"/>
      <c r="K94" s="15"/>
    </row>
    <row r="95" spans="1:11" x14ac:dyDescent="0.25">
      <c r="A95" s="17">
        <v>70</v>
      </c>
      <c r="B95" s="18">
        <f t="shared" si="6"/>
        <v>5000</v>
      </c>
      <c r="C95" s="18">
        <f t="shared" si="7"/>
        <v>312</v>
      </c>
      <c r="D95" s="18"/>
      <c r="E95" s="18"/>
      <c r="F95" s="18"/>
      <c r="G95" s="18">
        <f t="shared" si="8"/>
        <v>4688</v>
      </c>
      <c r="H95" s="19">
        <f t="shared" si="5"/>
        <v>1172.1294550029745</v>
      </c>
      <c r="I95" s="18"/>
      <c r="J95" s="18"/>
      <c r="K95" s="15"/>
    </row>
    <row r="96" spans="1:11" x14ac:dyDescent="0.25">
      <c r="A96" s="17">
        <v>71</v>
      </c>
      <c r="B96" s="18">
        <f t="shared" si="6"/>
        <v>5000</v>
      </c>
      <c r="C96" s="18">
        <f t="shared" si="7"/>
        <v>312</v>
      </c>
      <c r="D96" s="18"/>
      <c r="E96" s="18"/>
      <c r="F96" s="18"/>
      <c r="G96" s="18">
        <f t="shared" si="8"/>
        <v>4688</v>
      </c>
      <c r="H96" s="19">
        <f t="shared" si="5"/>
        <v>1149.1465245127201</v>
      </c>
      <c r="I96" s="18"/>
      <c r="J96" s="18"/>
      <c r="K96" s="15"/>
    </row>
    <row r="97" spans="1:11" x14ac:dyDescent="0.25">
      <c r="A97" s="17">
        <v>72</v>
      </c>
      <c r="B97" s="18">
        <f t="shared" si="6"/>
        <v>5000</v>
      </c>
      <c r="C97" s="18">
        <f t="shared" si="7"/>
        <v>312</v>
      </c>
      <c r="D97" s="18"/>
      <c r="E97" s="18"/>
      <c r="F97" s="18"/>
      <c r="G97" s="18">
        <f>B97-C97+C3</f>
        <v>24688</v>
      </c>
      <c r="H97" s="19">
        <f t="shared" si="5"/>
        <v>1126.614239718353</v>
      </c>
      <c r="I97" s="18"/>
      <c r="J97" s="18"/>
      <c r="K97" s="15"/>
    </row>
  </sheetData>
  <conditionalFormatting sqref="E14:E16 E18:E19 E21">
    <cfRule type="cellIs" dxfId="2" priority="1" operator="equal">
      <formula>"NÃO ACEITAR PROJETO"</formula>
    </cfRule>
    <cfRule type="cellIs" dxfId="1" priority="2" operator="equal">
      <formula>"ACEITAR PROJETO"</formula>
    </cfRule>
  </conditionalFormatting>
  <conditionalFormatting sqref="G25:G97">
    <cfRule type="cellIs" dxfId="0" priority="5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B464-15DA-4528-930D-81BB6A9C44AE}">
  <dimension ref="A1:AW159"/>
  <sheetViews>
    <sheetView topLeftCell="A10" workbookViewId="0">
      <selection activeCell="P11" sqref="P11"/>
    </sheetView>
  </sheetViews>
  <sheetFormatPr defaultRowHeight="15" x14ac:dyDescent="0.25"/>
  <cols>
    <col min="16" max="16" width="14.28515625" bestFit="1" customWidth="1"/>
  </cols>
  <sheetData>
    <row r="1" spans="1:49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 spans="1:4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 spans="1:4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4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4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49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f>(400000*6.54%)</f>
        <v>26160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>
        <f>400000-P7</f>
        <v>373840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</row>
    <row r="19" spans="1:49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</row>
    <row r="20" spans="1:49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</row>
    <row r="21" spans="1:49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</row>
    <row r="27" spans="1:49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</row>
    <row r="28" spans="1:49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</row>
    <row r="29" spans="1:49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</row>
    <row r="30" spans="1:49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</row>
    <row r="31" spans="1:49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</row>
    <row r="32" spans="1:49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</row>
    <row r="33" spans="1:49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</row>
    <row r="34" spans="1:49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</row>
    <row r="35" spans="1:4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1:4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1:49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</row>
    <row r="43" spans="1:49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</row>
    <row r="44" spans="1:49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</row>
    <row r="45" spans="1:49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</row>
    <row r="46" spans="1:49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</row>
    <row r="47" spans="1:49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</row>
    <row r="48" spans="1:49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</row>
    <row r="49" spans="1:49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</row>
    <row r="50" spans="1:49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</row>
    <row r="51" spans="1:49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</row>
    <row r="52" spans="1:49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</row>
    <row r="53" spans="1:49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</row>
    <row r="54" spans="1:49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</row>
    <row r="55" spans="1:49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</row>
    <row r="56" spans="1:49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</row>
    <row r="57" spans="1:49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</row>
    <row r="58" spans="1:49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</row>
    <row r="59" spans="1:49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</row>
    <row r="60" spans="1:49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</row>
    <row r="61" spans="1:49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</row>
    <row r="62" spans="1:49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</row>
    <row r="63" spans="1:49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</row>
    <row r="64" spans="1:49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</row>
    <row r="65" spans="1:49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</row>
    <row r="66" spans="1:49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</row>
    <row r="67" spans="1:49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</row>
    <row r="72" spans="1:49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</row>
    <row r="73" spans="1:49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</row>
    <row r="74" spans="1:49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</row>
    <row r="75" spans="1:49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</row>
    <row r="76" spans="1:49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</row>
    <row r="77" spans="1:49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</row>
    <row r="111" spans="1:49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</row>
    <row r="112" spans="1:49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</row>
    <row r="113" spans="1:49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</row>
    <row r="118" spans="1:49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</row>
    <row r="119" spans="1:49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</row>
    <row r="127" spans="1:49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</row>
    <row r="128" spans="1:49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</row>
    <row r="129" spans="1:49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</row>
    <row r="130" spans="1:49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</row>
    <row r="131" spans="1:49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</row>
    <row r="132" spans="1:49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</row>
    <row r="133" spans="1:49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</row>
    <row r="134" spans="1:49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</row>
    <row r="135" spans="1:49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</row>
    <row r="136" spans="1:49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</row>
    <row r="137" spans="1:49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</row>
    <row r="138" spans="1:49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</row>
    <row r="139" spans="1:49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</row>
    <row r="140" spans="1:49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</row>
    <row r="141" spans="1:49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</row>
    <row r="142" spans="1:49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</row>
    <row r="143" spans="1:49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</row>
    <row r="144" spans="1:49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</row>
    <row r="145" spans="1:49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</row>
    <row r="146" spans="1:49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</row>
    <row r="147" spans="1:49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</row>
    <row r="148" spans="1:49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</row>
    <row r="149" spans="1:49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</row>
    <row r="150" spans="1:49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</row>
    <row r="151" spans="1:49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</row>
    <row r="152" spans="1:49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</row>
    <row r="153" spans="1:49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</row>
    <row r="154" spans="1:49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</row>
    <row r="155" spans="1:49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</row>
    <row r="156" spans="1:49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</row>
    <row r="157" spans="1:49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</row>
    <row r="158" spans="1:49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</row>
    <row r="159" spans="1:49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Planilha1</vt:lpstr>
      <vt:lpstr>PRICE-SFA</vt:lpstr>
      <vt:lpstr>PRINCIPAL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 Gamer11</dc:creator>
  <cp:lastModifiedBy>BDZ Gamer11</cp:lastModifiedBy>
  <dcterms:created xsi:type="dcterms:W3CDTF">2023-09-02T16:24:43Z</dcterms:created>
  <dcterms:modified xsi:type="dcterms:W3CDTF">2023-11-18T14:57:09Z</dcterms:modified>
</cp:coreProperties>
</file>