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5DC3A39-F6B1-420F-9EE9-B836F1C290BA}" xr6:coauthVersionLast="36" xr6:coauthVersionMax="36" xr10:uidLastSave="{00000000-0000-0000-0000-000000000000}"/>
  <bookViews>
    <workbookView xWindow="0" yWindow="0" windowWidth="15345" windowHeight="4470" activeTab="4" xr2:uid="{00000000-000D-0000-FFFF-FFFF00000000}"/>
  </bookViews>
  <sheets>
    <sheet name="RENDA VAARIAVEL" sheetId="1" r:id="rId1"/>
    <sheet name="RENDA CONSERVADORA" sheetId="3" r:id="rId2"/>
    <sheet name="intenções" sheetId="4" r:id="rId3"/>
    <sheet name="casa" sheetId="5" r:id="rId4"/>
    <sheet name="carr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6" l="1"/>
  <c r="H16" i="6" l="1"/>
  <c r="H4" i="6"/>
  <c r="H5" i="6" s="1"/>
  <c r="C14" i="6"/>
  <c r="C15" i="6" s="1"/>
  <c r="C16" i="6" s="1"/>
  <c r="B19" i="6"/>
  <c r="B18" i="6"/>
  <c r="B15" i="6" l="1"/>
  <c r="H6" i="6"/>
  <c r="B14" i="6"/>
  <c r="B22" i="6" s="1"/>
  <c r="B23" i="6" s="1"/>
  <c r="H9" i="6" s="1"/>
  <c r="B16" i="6"/>
  <c r="E22" i="3"/>
  <c r="Q12" i="1" l="1"/>
  <c r="Q13" i="1" s="1"/>
  <c r="E10" i="1" l="1"/>
  <c r="E11" i="1"/>
  <c r="E12" i="1"/>
  <c r="E13" i="1"/>
  <c r="E14" i="1"/>
  <c r="E15" i="1"/>
  <c r="O6" i="3"/>
  <c r="O5" i="3"/>
  <c r="J59" i="3"/>
  <c r="P6" i="3"/>
  <c r="P7" i="3"/>
  <c r="P8" i="3"/>
  <c r="P9" i="3"/>
  <c r="P10" i="3"/>
  <c r="P11" i="3"/>
  <c r="P12" i="3"/>
  <c r="P13" i="3"/>
  <c r="P14" i="3"/>
  <c r="P15" i="3"/>
  <c r="P16" i="3"/>
  <c r="P17" i="3"/>
  <c r="P5" i="3"/>
  <c r="M6" i="3"/>
  <c r="M7" i="3"/>
  <c r="M8" i="3"/>
  <c r="M9" i="3"/>
  <c r="M10" i="3"/>
  <c r="M11" i="3"/>
  <c r="M12" i="3"/>
  <c r="M13" i="3"/>
  <c r="M14" i="3"/>
  <c r="M15" i="3"/>
  <c r="M16" i="3"/>
  <c r="M17" i="3"/>
  <c r="M5" i="3"/>
  <c r="G6" i="3"/>
  <c r="G7" i="3"/>
  <c r="G17" i="3"/>
  <c r="G5" i="3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F22" i="3" s="1"/>
  <c r="Q20" i="4"/>
  <c r="Q16" i="4"/>
  <c r="M8" i="4"/>
  <c r="E8" i="4"/>
  <c r="G8" i="4" s="1"/>
  <c r="M7" i="4"/>
  <c r="E7" i="4"/>
  <c r="G7" i="4" s="1"/>
  <c r="M6" i="4"/>
  <c r="E6" i="4"/>
  <c r="G6" i="4" s="1"/>
  <c r="M5" i="4"/>
  <c r="E5" i="4"/>
  <c r="G5" i="4" s="1"/>
  <c r="Q16" i="3" l="1"/>
  <c r="Q12" i="3"/>
  <c r="Q8" i="3"/>
  <c r="Q15" i="3"/>
  <c r="Q11" i="3"/>
  <c r="Q7" i="3"/>
  <c r="G8" i="3"/>
  <c r="G23" i="3" s="1"/>
  <c r="G24" i="3" s="1"/>
  <c r="Q14" i="3"/>
  <c r="Q10" i="3"/>
  <c r="Q17" i="3"/>
  <c r="Q13" i="3"/>
  <c r="Q9" i="3"/>
  <c r="O8" i="4"/>
  <c r="Q6" i="3"/>
  <c r="Q5" i="3"/>
  <c r="J60" i="3"/>
  <c r="O6" i="4"/>
  <c r="N6" i="4"/>
  <c r="G17" i="4"/>
  <c r="O5" i="4"/>
  <c r="N5" i="4"/>
  <c r="O7" i="4"/>
  <c r="N7" i="4"/>
  <c r="M17" i="4"/>
  <c r="N8" i="4"/>
  <c r="M5" i="1"/>
  <c r="P23" i="3" l="1"/>
  <c r="J61" i="3"/>
  <c r="D57" i="3" s="1"/>
  <c r="A57" i="3"/>
  <c r="C57" i="3"/>
  <c r="F19" i="4"/>
  <c r="F20" i="4" s="1"/>
  <c r="O17" i="4"/>
  <c r="B57" i="3" l="1"/>
  <c r="M6" i="1"/>
  <c r="M7" i="1"/>
  <c r="M8" i="1"/>
  <c r="E6" i="1"/>
  <c r="G6" i="1" s="1"/>
  <c r="E7" i="1"/>
  <c r="G7" i="1" s="1"/>
  <c r="E8" i="1"/>
  <c r="G8" i="1" s="1"/>
  <c r="E5" i="1"/>
  <c r="G5" i="1" s="1"/>
  <c r="M16" i="1" l="1"/>
  <c r="O5" i="1"/>
  <c r="O8" i="1"/>
  <c r="O7" i="1"/>
  <c r="N5" i="1"/>
  <c r="O6" i="1"/>
  <c r="N8" i="1"/>
  <c r="N7" i="1"/>
  <c r="N6" i="1"/>
  <c r="G16" i="1"/>
  <c r="O16" i="1" l="1"/>
  <c r="F18" i="1"/>
  <c r="F20" i="1" s="1"/>
</calcChain>
</file>

<file path=xl/sharedStrings.xml><?xml version="1.0" encoding="utf-8"?>
<sst xmlns="http://schemas.openxmlformats.org/spreadsheetml/2006/main" count="144" uniqueCount="96">
  <si>
    <t>NOME</t>
  </si>
  <si>
    <t>QT</t>
  </si>
  <si>
    <t>VALOR CH</t>
  </si>
  <si>
    <t>DP CORRETORA</t>
  </si>
  <si>
    <t>DATA</t>
  </si>
  <si>
    <t>TOTOAL INVESTIDO</t>
  </si>
  <si>
    <t>INVESTIMENTO</t>
  </si>
  <si>
    <t>VARIAÇÃO</t>
  </si>
  <si>
    <t>ZERAR</t>
  </si>
  <si>
    <t>BIDIF</t>
  </si>
  <si>
    <t>VALOR UNI.</t>
  </si>
  <si>
    <t>TAXA</t>
  </si>
  <si>
    <t>ITAUSA</t>
  </si>
  <si>
    <t>VALE3</t>
  </si>
  <si>
    <t>Lucro total</t>
  </si>
  <si>
    <t>soma</t>
  </si>
  <si>
    <t>total acumulado</t>
  </si>
  <si>
    <t>lucro</t>
  </si>
  <si>
    <t>taxa mensal</t>
  </si>
  <si>
    <t>1/02 a 28/02</t>
  </si>
  <si>
    <t>BCFF11</t>
  </si>
  <si>
    <t>MXRF11</t>
  </si>
  <si>
    <t>LINX3</t>
  </si>
  <si>
    <t>ENGI3F</t>
  </si>
  <si>
    <t>PMAM3</t>
  </si>
  <si>
    <t>MDIA3F</t>
  </si>
  <si>
    <t>FLRY3</t>
  </si>
  <si>
    <t>WEGE3</t>
  </si>
  <si>
    <t>BRUTO</t>
  </si>
  <si>
    <t>LUCRO BRUTO</t>
  </si>
  <si>
    <t>VALOR INVESTIDO</t>
  </si>
  <si>
    <t>TESOURO DIRETO</t>
  </si>
  <si>
    <t>ipca 2035</t>
  </si>
  <si>
    <t>vencimento</t>
  </si>
  <si>
    <t>ipca 2024</t>
  </si>
  <si>
    <t>selic 2025</t>
  </si>
  <si>
    <t>VALOR UNI.c</t>
  </si>
  <si>
    <t>VALOR UNI.v</t>
  </si>
  <si>
    <t>Bruto</t>
  </si>
  <si>
    <t>lucro bruto</t>
  </si>
  <si>
    <t>ipca2035</t>
  </si>
  <si>
    <t>ipca2045</t>
  </si>
  <si>
    <t>FUNDOS IMOBILIARIOS plano A</t>
  </si>
  <si>
    <t>Saldo Mensal</t>
  </si>
  <si>
    <t>total</t>
  </si>
  <si>
    <t>Ap1</t>
  </si>
  <si>
    <t>Ap2</t>
  </si>
  <si>
    <t>Variaveis</t>
  </si>
  <si>
    <t xml:space="preserve">Definição </t>
  </si>
  <si>
    <t>Valor</t>
  </si>
  <si>
    <t>Liquido</t>
  </si>
  <si>
    <t>Custo de Vida</t>
  </si>
  <si>
    <t xml:space="preserve">Investimento </t>
  </si>
  <si>
    <t>Conservador</t>
  </si>
  <si>
    <t>Variavel</t>
  </si>
  <si>
    <t>Investimentos</t>
  </si>
  <si>
    <t xml:space="preserve">Casa </t>
  </si>
  <si>
    <t>Bolsa</t>
  </si>
  <si>
    <t>1/03 a 1/4</t>
  </si>
  <si>
    <t>1/4 a 1/5</t>
  </si>
  <si>
    <t>1/2 a 1/3</t>
  </si>
  <si>
    <t>1/02 a 1/3</t>
  </si>
  <si>
    <t>Descrição</t>
  </si>
  <si>
    <t xml:space="preserve"> Custos</t>
  </si>
  <si>
    <t>Sentra SV AT 2018</t>
  </si>
  <si>
    <t>KM Rodados</t>
  </si>
  <si>
    <t>80 KM Por dia</t>
  </si>
  <si>
    <t>Pneu</t>
  </si>
  <si>
    <t>Manutenção 10000</t>
  </si>
  <si>
    <t>Manutenção 20000</t>
  </si>
  <si>
    <t>Manutenção 30000</t>
  </si>
  <si>
    <t>Manutenção 40000</t>
  </si>
  <si>
    <t>Manutenção 50000</t>
  </si>
  <si>
    <t>Manutenção 60000</t>
  </si>
  <si>
    <t>IPVA 1</t>
  </si>
  <si>
    <t>IPVA 2</t>
  </si>
  <si>
    <t>IPVA 3</t>
  </si>
  <si>
    <t>Desvalorização Ano 1</t>
  </si>
  <si>
    <t>Desvalorização Ano 2</t>
  </si>
  <si>
    <t>Desvalorização Ano 3</t>
  </si>
  <si>
    <t>Seguro Ano 1</t>
  </si>
  <si>
    <t>Seguro Ano 2</t>
  </si>
  <si>
    <t>Seguro Ano 3</t>
  </si>
  <si>
    <t>Dinheiro no Tempo</t>
  </si>
  <si>
    <t>Total em 3 anos</t>
  </si>
  <si>
    <t>Custo Mês</t>
  </si>
  <si>
    <t>DIVIDENDOS</t>
  </si>
  <si>
    <t>TAXA BRUTA</t>
  </si>
  <si>
    <t>ano</t>
  </si>
  <si>
    <t>Aluguel de carro por ano</t>
  </si>
  <si>
    <t>valor do carro 46000</t>
  </si>
  <si>
    <t xml:space="preserve">1 mês </t>
  </si>
  <si>
    <t>investido</t>
  </si>
  <si>
    <t>aportes</t>
  </si>
  <si>
    <t>prejuizo de comprar um carro e manter ele por 3 anos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</si>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</sst>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16" fontId="0" fillId="0" borderId="0" xfId="0" applyNumberFormat="1"/>
    <xf numFmtId="8" fontId="0" fillId="0" borderId="0" xfId="0" applyNumberFormat="1"/>
    <xf numFmtId="8" fontId="3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zoomScaleNormal="100" workbookViewId="0">
      <selection activeCell="O23" sqref="O19:O23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11" t="s">
        <v>6</v>
      </c>
      <c r="B2" s="11"/>
      <c r="C2" s="11"/>
      <c r="D2" s="11"/>
      <c r="E2" s="11"/>
      <c r="F2" s="11"/>
      <c r="G2" s="11"/>
      <c r="I2" s="11" t="s">
        <v>7</v>
      </c>
      <c r="J2" s="11"/>
      <c r="K2" s="11"/>
      <c r="L2" s="11"/>
      <c r="M2" s="11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41.5</v>
      </c>
      <c r="L5">
        <v>7</v>
      </c>
      <c r="M5">
        <f>K5*L5</f>
        <v>290.5</v>
      </c>
      <c r="N5" s="2">
        <f>(M5/G5)-1</f>
        <v>-2.454585138175347E-2</v>
      </c>
      <c r="O5">
        <f>M5-G5</f>
        <v>-7.3100000000000023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 t="shared" ref="E6:E8" si="0">C6*D6</f>
        <v>388.5</v>
      </c>
      <c r="F6">
        <v>8.2200000000000006</v>
      </c>
      <c r="G6">
        <f t="shared" ref="G6:G8" si="1">E6+F6</f>
        <v>396.72</v>
      </c>
      <c r="I6" s="1">
        <v>43521</v>
      </c>
      <c r="J6" t="s">
        <v>12</v>
      </c>
      <c r="K6">
        <v>12.5</v>
      </c>
      <c r="L6">
        <v>30</v>
      </c>
      <c r="M6">
        <f t="shared" ref="M6:M8" si="2">K6*L6</f>
        <v>375</v>
      </c>
      <c r="N6" s="2">
        <f t="shared" ref="N6:N8" si="3">(M6/G6)-1</f>
        <v>-5.4748941318814359E-2</v>
      </c>
      <c r="O6">
        <f t="shared" ref="O6:O8" si="4">M6-G6</f>
        <v>-21.720000000000027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 t="shared" si="0"/>
        <v>380.25</v>
      </c>
      <c r="F7">
        <v>8.2200000000000006</v>
      </c>
      <c r="G7">
        <f t="shared" si="1"/>
        <v>388.47</v>
      </c>
      <c r="I7" s="1">
        <v>43521</v>
      </c>
      <c r="J7" t="s">
        <v>13</v>
      </c>
      <c r="K7">
        <v>48.85</v>
      </c>
      <c r="L7">
        <v>9</v>
      </c>
      <c r="M7">
        <f t="shared" si="2"/>
        <v>439.65000000000003</v>
      </c>
      <c r="N7" s="2">
        <f t="shared" si="3"/>
        <v>0.13174762529925088</v>
      </c>
      <c r="O7">
        <f t="shared" si="4"/>
        <v>51.180000000000007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 t="shared" si="0"/>
        <v>194.89999999999998</v>
      </c>
      <c r="F8">
        <v>8.2200000000000006</v>
      </c>
      <c r="G8">
        <f t="shared" si="1"/>
        <v>203.11999999999998</v>
      </c>
      <c r="I8" s="1">
        <v>43521</v>
      </c>
      <c r="J8" t="s">
        <v>9</v>
      </c>
      <c r="K8">
        <v>41.5</v>
      </c>
      <c r="L8">
        <v>5</v>
      </c>
      <c r="M8">
        <f t="shared" si="2"/>
        <v>207.5</v>
      </c>
      <c r="N8" s="2">
        <f t="shared" si="3"/>
        <v>2.1563607719574662E-2</v>
      </c>
      <c r="O8">
        <f t="shared" si="4"/>
        <v>4.3800000000000239</v>
      </c>
    </row>
    <row r="9" spans="1:17" x14ac:dyDescent="0.25">
      <c r="A9" s="1"/>
      <c r="I9" s="7">
        <v>43531</v>
      </c>
      <c r="J9" t="s">
        <v>86</v>
      </c>
      <c r="M9">
        <v>26.67</v>
      </c>
      <c r="O9">
        <v>26.67</v>
      </c>
    </row>
    <row r="10" spans="1:17" x14ac:dyDescent="0.25">
      <c r="A10" s="1"/>
      <c r="B10" t="s">
        <v>22</v>
      </c>
      <c r="C10">
        <v>28.79</v>
      </c>
      <c r="D10">
        <v>10</v>
      </c>
      <c r="E10">
        <f t="shared" ref="E10:E15" si="5">C10*D10</f>
        <v>287.89999999999998</v>
      </c>
    </row>
    <row r="11" spans="1:17" x14ac:dyDescent="0.25">
      <c r="A11" s="1"/>
      <c r="B11" t="s">
        <v>23</v>
      </c>
      <c r="C11">
        <v>14.6</v>
      </c>
      <c r="D11">
        <v>10</v>
      </c>
      <c r="E11">
        <f t="shared" si="5"/>
        <v>146</v>
      </c>
    </row>
    <row r="12" spans="1:17" x14ac:dyDescent="0.25">
      <c r="A12" s="1"/>
      <c r="B12" t="s">
        <v>24</v>
      </c>
      <c r="C12">
        <v>1.44</v>
      </c>
      <c r="D12">
        <v>100</v>
      </c>
      <c r="E12">
        <f t="shared" si="5"/>
        <v>144</v>
      </c>
      <c r="Q12">
        <f>((C5*D5)+(C8*D8))/12</f>
        <v>40.37416666666666</v>
      </c>
    </row>
    <row r="13" spans="1:17" x14ac:dyDescent="0.25">
      <c r="A13" s="1"/>
      <c r="B13" t="s">
        <v>25</v>
      </c>
      <c r="C13">
        <v>47.33</v>
      </c>
      <c r="D13">
        <v>10</v>
      </c>
      <c r="E13">
        <f t="shared" si="5"/>
        <v>473.29999999999995</v>
      </c>
      <c r="Q13">
        <f>Q12*12</f>
        <v>484.4899999999999</v>
      </c>
    </row>
    <row r="14" spans="1:17" x14ac:dyDescent="0.25">
      <c r="A14" s="1"/>
      <c r="B14" t="s">
        <v>26</v>
      </c>
      <c r="C14">
        <v>20</v>
      </c>
      <c r="D14">
        <v>10</v>
      </c>
      <c r="E14">
        <f t="shared" si="5"/>
        <v>200</v>
      </c>
    </row>
    <row r="15" spans="1:17" x14ac:dyDescent="0.25">
      <c r="A15" s="1"/>
      <c r="B15" t="s">
        <v>27</v>
      </c>
      <c r="C15">
        <v>18.34</v>
      </c>
      <c r="D15">
        <v>10</v>
      </c>
      <c r="E15">
        <f t="shared" si="5"/>
        <v>183.4</v>
      </c>
    </row>
    <row r="16" spans="1:17" x14ac:dyDescent="0.25">
      <c r="G16">
        <f>SUM(G5:G15)</f>
        <v>1286.1199999999999</v>
      </c>
      <c r="H16" s="5" t="s">
        <v>15</v>
      </c>
      <c r="I16" t="s">
        <v>16</v>
      </c>
      <c r="M16">
        <f>SUM(M5:M15)</f>
        <v>1339.3200000000002</v>
      </c>
      <c r="N16" t="s">
        <v>17</v>
      </c>
      <c r="O16">
        <f>SUM(O4:O15)</f>
        <v>53.2</v>
      </c>
    </row>
    <row r="18" spans="3:15" x14ac:dyDescent="0.25">
      <c r="E18" t="s">
        <v>14</v>
      </c>
      <c r="F18" s="3">
        <f>SUM(O5:O10)</f>
        <v>53.2</v>
      </c>
    </row>
    <row r="19" spans="3:15" x14ac:dyDescent="0.25">
      <c r="C19" t="s">
        <v>60</v>
      </c>
      <c r="E19" t="s">
        <v>18</v>
      </c>
      <c r="F19" s="4">
        <v>-0.01</v>
      </c>
      <c r="G19" t="s">
        <v>61</v>
      </c>
      <c r="O19">
        <v>250</v>
      </c>
    </row>
    <row r="20" spans="3:15" x14ac:dyDescent="0.25">
      <c r="C20" t="s">
        <v>58</v>
      </c>
      <c r="F20" s="4">
        <f>F18/G16</f>
        <v>4.1364724909028712E-2</v>
      </c>
      <c r="O20">
        <v>800</v>
      </c>
    </row>
    <row r="21" spans="3:15" x14ac:dyDescent="0.25">
      <c r="C21" t="s">
        <v>59</v>
      </c>
      <c r="F21" s="4"/>
      <c r="O21">
        <v>800</v>
      </c>
    </row>
    <row r="22" spans="3:15" x14ac:dyDescent="0.25">
      <c r="O22">
        <v>800</v>
      </c>
    </row>
  </sheetData>
  <mergeCells count="2">
    <mergeCell ref="A2:G2"/>
    <mergeCell ref="I2:M2"/>
  </mergeCells>
  <conditionalFormatting sqref="F18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N5:N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61"/>
  <sheetViews>
    <sheetView topLeftCell="C1" zoomScale="110" zoomScaleNormal="110" workbookViewId="0">
      <selection activeCell="K11" sqref="K11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10.85546875" bestFit="1" customWidth="1"/>
    <col min="5" max="5" width="17.28515625" bestFit="1" customWidth="1"/>
    <col min="6" max="6" width="14.7109375" bestFit="1" customWidth="1"/>
    <col min="7" max="7" width="18.28515625" bestFit="1" customWidth="1"/>
    <col min="8" max="8" width="1.85546875" style="5" customWidth="1"/>
    <col min="9" max="9" width="13.42578125" bestFit="1" customWidth="1"/>
    <col min="11" max="11" width="11.28515625" bestFit="1" customWidth="1"/>
    <col min="13" max="13" width="17.28515625" bestFit="1" customWidth="1"/>
    <col min="14" max="14" width="11.28515625" bestFit="1" customWidth="1"/>
  </cols>
  <sheetData>
    <row r="2" spans="1:17" x14ac:dyDescent="0.25">
      <c r="A2" s="11" t="s">
        <v>31</v>
      </c>
      <c r="B2" s="11"/>
      <c r="C2" s="11"/>
      <c r="D2" s="11"/>
      <c r="E2" s="11"/>
      <c r="F2" s="11"/>
      <c r="G2" s="11"/>
      <c r="I2" s="11" t="s">
        <v>42</v>
      </c>
      <c r="J2" s="11"/>
      <c r="K2" s="11"/>
      <c r="L2" s="11"/>
      <c r="M2" s="11"/>
      <c r="N2" s="11"/>
      <c r="O2" s="11"/>
    </row>
    <row r="4" spans="1:17" x14ac:dyDescent="0.25">
      <c r="A4" t="s">
        <v>4</v>
      </c>
      <c r="B4" t="s">
        <v>0</v>
      </c>
      <c r="C4" t="s">
        <v>33</v>
      </c>
      <c r="D4" t="s">
        <v>1</v>
      </c>
      <c r="E4" t="s">
        <v>30</v>
      </c>
      <c r="F4" t="s">
        <v>28</v>
      </c>
      <c r="G4" t="s">
        <v>29</v>
      </c>
      <c r="I4" t="s">
        <v>4</v>
      </c>
      <c r="J4" t="s">
        <v>0</v>
      </c>
      <c r="K4" t="s">
        <v>36</v>
      </c>
      <c r="L4" t="s">
        <v>1</v>
      </c>
      <c r="M4" t="s">
        <v>30</v>
      </c>
      <c r="N4" t="s">
        <v>37</v>
      </c>
      <c r="O4" t="s">
        <v>1</v>
      </c>
      <c r="P4" t="s">
        <v>38</v>
      </c>
      <c r="Q4" t="s">
        <v>17</v>
      </c>
    </row>
    <row r="5" spans="1:17" x14ac:dyDescent="0.25">
      <c r="A5" s="1">
        <v>43488</v>
      </c>
      <c r="B5" t="s">
        <v>32</v>
      </c>
      <c r="C5" s="1">
        <v>49444</v>
      </c>
      <c r="D5">
        <v>2.57</v>
      </c>
      <c r="E5">
        <v>3907.71</v>
      </c>
      <c r="F5">
        <v>3991.05</v>
      </c>
      <c r="G5">
        <f>F5-E5</f>
        <v>83.340000000000146</v>
      </c>
      <c r="I5" s="1"/>
      <c r="J5" t="s">
        <v>21</v>
      </c>
      <c r="K5">
        <v>11.11</v>
      </c>
      <c r="L5">
        <v>100</v>
      </c>
      <c r="M5">
        <f>K5*L5</f>
        <v>1111</v>
      </c>
      <c r="N5">
        <v>11.11</v>
      </c>
      <c r="O5">
        <f>L5</f>
        <v>100</v>
      </c>
      <c r="P5">
        <f t="shared" ref="P5:P17" si="0">N5*L5</f>
        <v>1111</v>
      </c>
      <c r="Q5">
        <f t="shared" ref="Q5:Q17" si="1">P5-M5</f>
        <v>0</v>
      </c>
    </row>
    <row r="6" spans="1:17" x14ac:dyDescent="0.25">
      <c r="A6" s="1">
        <v>43493</v>
      </c>
      <c r="B6" t="s">
        <v>34</v>
      </c>
      <c r="C6" s="1">
        <v>45519</v>
      </c>
      <c r="D6">
        <v>0.33</v>
      </c>
      <c r="E6">
        <v>830.55</v>
      </c>
      <c r="F6">
        <v>837.44</v>
      </c>
      <c r="G6">
        <f t="shared" ref="G6:G17" si="2">F6-E6</f>
        <v>6.8900000000001</v>
      </c>
      <c r="I6" s="1"/>
      <c r="J6" t="s">
        <v>20</v>
      </c>
      <c r="K6">
        <v>83.49</v>
      </c>
      <c r="L6">
        <v>9</v>
      </c>
      <c r="M6">
        <f t="shared" ref="M6:M17" si="3">K6*L6</f>
        <v>751.41</v>
      </c>
      <c r="N6">
        <v>83.49</v>
      </c>
      <c r="O6">
        <f>L6</f>
        <v>9</v>
      </c>
      <c r="P6">
        <f t="shared" si="0"/>
        <v>751.41</v>
      </c>
      <c r="Q6">
        <f t="shared" si="1"/>
        <v>0</v>
      </c>
    </row>
    <row r="7" spans="1:17" x14ac:dyDescent="0.25">
      <c r="A7" s="1">
        <v>43508</v>
      </c>
      <c r="B7" t="s">
        <v>35</v>
      </c>
      <c r="C7" s="1">
        <v>45717</v>
      </c>
      <c r="D7">
        <v>0.03</v>
      </c>
      <c r="E7">
        <v>298.32</v>
      </c>
      <c r="F7">
        <v>298.79000000000002</v>
      </c>
      <c r="G7">
        <f t="shared" si="2"/>
        <v>0.47000000000002728</v>
      </c>
      <c r="I7" s="1"/>
      <c r="M7">
        <f t="shared" si="3"/>
        <v>0</v>
      </c>
      <c r="P7">
        <f t="shared" si="0"/>
        <v>0</v>
      </c>
      <c r="Q7">
        <f t="shared" si="1"/>
        <v>0</v>
      </c>
    </row>
    <row r="8" spans="1:17" x14ac:dyDescent="0.25">
      <c r="A8" s="1">
        <v>43653</v>
      </c>
      <c r="B8" t="s">
        <v>40</v>
      </c>
      <c r="F8">
        <f t="shared" ref="F8:F16" si="4">C8*D8</f>
        <v>0</v>
      </c>
      <c r="G8">
        <f t="shared" si="2"/>
        <v>0</v>
      </c>
      <c r="I8" s="1"/>
      <c r="M8">
        <f t="shared" si="3"/>
        <v>0</v>
      </c>
      <c r="P8">
        <f t="shared" si="0"/>
        <v>0</v>
      </c>
      <c r="Q8">
        <f t="shared" si="1"/>
        <v>0</v>
      </c>
    </row>
    <row r="9" spans="1:17" x14ac:dyDescent="0.25">
      <c r="A9" s="1">
        <v>43653</v>
      </c>
      <c r="B9" t="s">
        <v>41</v>
      </c>
      <c r="C9" s="1"/>
      <c r="F9">
        <f t="shared" si="4"/>
        <v>0</v>
      </c>
      <c r="G9">
        <f t="shared" si="2"/>
        <v>0</v>
      </c>
      <c r="I9" s="1"/>
      <c r="M9">
        <f t="shared" si="3"/>
        <v>0</v>
      </c>
      <c r="P9">
        <f t="shared" si="0"/>
        <v>0</v>
      </c>
      <c r="Q9">
        <f t="shared" si="1"/>
        <v>0</v>
      </c>
    </row>
    <row r="10" spans="1:17" x14ac:dyDescent="0.25">
      <c r="A10" s="1"/>
      <c r="F10">
        <f t="shared" si="4"/>
        <v>0</v>
      </c>
      <c r="G10">
        <f t="shared" si="2"/>
        <v>0</v>
      </c>
      <c r="I10" s="1"/>
      <c r="M10">
        <f t="shared" si="3"/>
        <v>0</v>
      </c>
      <c r="P10">
        <f t="shared" si="0"/>
        <v>0</v>
      </c>
      <c r="Q10">
        <f t="shared" si="1"/>
        <v>0</v>
      </c>
    </row>
    <row r="11" spans="1:17" x14ac:dyDescent="0.25">
      <c r="A11" s="1"/>
      <c r="F11">
        <f t="shared" si="4"/>
        <v>0</v>
      </c>
      <c r="G11">
        <f t="shared" si="2"/>
        <v>0</v>
      </c>
      <c r="I11" s="1"/>
      <c r="M11">
        <f t="shared" si="3"/>
        <v>0</v>
      </c>
      <c r="P11">
        <f t="shared" si="0"/>
        <v>0</v>
      </c>
      <c r="Q11">
        <f t="shared" si="1"/>
        <v>0</v>
      </c>
    </row>
    <row r="12" spans="1:17" x14ac:dyDescent="0.25">
      <c r="A12" s="1"/>
      <c r="F12">
        <f t="shared" si="4"/>
        <v>0</v>
      </c>
      <c r="G12">
        <f t="shared" si="2"/>
        <v>0</v>
      </c>
      <c r="I12" s="1"/>
      <c r="M12">
        <f t="shared" si="3"/>
        <v>0</v>
      </c>
      <c r="P12">
        <f t="shared" si="0"/>
        <v>0</v>
      </c>
      <c r="Q12">
        <f t="shared" si="1"/>
        <v>0</v>
      </c>
    </row>
    <row r="13" spans="1:17" x14ac:dyDescent="0.25">
      <c r="A13" s="1"/>
      <c r="F13">
        <f t="shared" si="4"/>
        <v>0</v>
      </c>
      <c r="G13">
        <f t="shared" si="2"/>
        <v>0</v>
      </c>
      <c r="I13" s="1"/>
      <c r="M13">
        <f t="shared" si="3"/>
        <v>0</v>
      </c>
      <c r="P13">
        <f t="shared" si="0"/>
        <v>0</v>
      </c>
      <c r="Q13">
        <f t="shared" si="1"/>
        <v>0</v>
      </c>
    </row>
    <row r="14" spans="1:17" x14ac:dyDescent="0.25">
      <c r="A14" s="1"/>
      <c r="F14">
        <f t="shared" si="4"/>
        <v>0</v>
      </c>
      <c r="G14">
        <f t="shared" si="2"/>
        <v>0</v>
      </c>
      <c r="I14" s="1"/>
      <c r="M14">
        <f t="shared" si="3"/>
        <v>0</v>
      </c>
      <c r="P14">
        <f t="shared" si="0"/>
        <v>0</v>
      </c>
      <c r="Q14">
        <f t="shared" si="1"/>
        <v>0</v>
      </c>
    </row>
    <row r="15" spans="1:17" x14ac:dyDescent="0.25">
      <c r="A15" s="1"/>
      <c r="F15">
        <f t="shared" si="4"/>
        <v>0</v>
      </c>
      <c r="G15">
        <f t="shared" si="2"/>
        <v>0</v>
      </c>
      <c r="I15" s="1"/>
      <c r="M15">
        <f t="shared" si="3"/>
        <v>0</v>
      </c>
      <c r="P15">
        <f t="shared" si="0"/>
        <v>0</v>
      </c>
      <c r="Q15">
        <f t="shared" si="1"/>
        <v>0</v>
      </c>
    </row>
    <row r="16" spans="1:17" x14ac:dyDescent="0.25">
      <c r="A16" s="1"/>
      <c r="F16">
        <f t="shared" si="4"/>
        <v>0</v>
      </c>
      <c r="G16">
        <f t="shared" si="2"/>
        <v>0</v>
      </c>
      <c r="I16" s="1"/>
      <c r="M16">
        <f t="shared" si="3"/>
        <v>0</v>
      </c>
      <c r="P16">
        <f t="shared" si="0"/>
        <v>0</v>
      </c>
      <c r="Q16">
        <f t="shared" si="1"/>
        <v>0</v>
      </c>
    </row>
    <row r="17" spans="1:17" x14ac:dyDescent="0.25">
      <c r="G17">
        <f t="shared" si="2"/>
        <v>0</v>
      </c>
      <c r="M17">
        <f t="shared" si="3"/>
        <v>0</v>
      </c>
      <c r="P17">
        <f t="shared" si="0"/>
        <v>0</v>
      </c>
      <c r="Q17">
        <f t="shared" si="1"/>
        <v>0</v>
      </c>
    </row>
    <row r="19" spans="1:17" x14ac:dyDescent="0.25">
      <c r="F19" s="3"/>
      <c r="N19" s="3"/>
    </row>
    <row r="20" spans="1:17" x14ac:dyDescent="0.25">
      <c r="F20" s="4"/>
      <c r="N20" s="4"/>
    </row>
    <row r="22" spans="1:17" x14ac:dyDescent="0.25">
      <c r="E22">
        <f>SUM(E5:E21)</f>
        <v>5036.58</v>
      </c>
      <c r="F22">
        <f>SUM(F5:F21)</f>
        <v>5127.28</v>
      </c>
    </row>
    <row r="23" spans="1:17" x14ac:dyDescent="0.25">
      <c r="F23" t="s">
        <v>39</v>
      </c>
      <c r="G23">
        <f>SUM(G5:G22)</f>
        <v>90.700000000000273</v>
      </c>
      <c r="P23">
        <f>SUM(P5:P22)</f>
        <v>1862.4099999999999</v>
      </c>
    </row>
    <row r="24" spans="1:17" x14ac:dyDescent="0.25">
      <c r="F24" t="s">
        <v>87</v>
      </c>
      <c r="G24" s="4">
        <f>G23/E22</f>
        <v>1.8008251631067167E-2</v>
      </c>
    </row>
    <row r="31" spans="1:17" x14ac:dyDescent="0.25">
      <c r="A31" t="s">
        <v>43</v>
      </c>
    </row>
    <row r="34" spans="1:2" x14ac:dyDescent="0.25">
      <c r="B34" s="3"/>
    </row>
    <row r="35" spans="1:2" x14ac:dyDescent="0.25">
      <c r="A35" t="s">
        <v>44</v>
      </c>
      <c r="B35" s="3"/>
    </row>
    <row r="36" spans="1:2" x14ac:dyDescent="0.25">
      <c r="B36" s="3"/>
    </row>
    <row r="37" spans="1:2" x14ac:dyDescent="0.25">
      <c r="B37" s="3"/>
    </row>
    <row r="38" spans="1:2" x14ac:dyDescent="0.25">
      <c r="B38" s="3"/>
    </row>
    <row r="39" spans="1:2" x14ac:dyDescent="0.25">
      <c r="B39" s="3"/>
    </row>
    <row r="55" spans="1:13" s="6" customFormat="1" x14ac:dyDescent="0.25">
      <c r="A55" s="12" t="s">
        <v>55</v>
      </c>
      <c r="B55" s="12"/>
      <c r="C55" s="12"/>
      <c r="D55" s="12"/>
      <c r="E55" s="12"/>
      <c r="F55" s="12"/>
      <c r="G55" s="12"/>
      <c r="H55" s="5"/>
      <c r="I55" s="12" t="s">
        <v>47</v>
      </c>
      <c r="J55" s="12"/>
      <c r="K55" s="12"/>
      <c r="L55" s="12"/>
      <c r="M55" s="12"/>
    </row>
    <row r="56" spans="1:13" x14ac:dyDescent="0.25">
      <c r="A56" t="s">
        <v>56</v>
      </c>
      <c r="B56" t="s">
        <v>45</v>
      </c>
      <c r="C56" t="s">
        <v>46</v>
      </c>
      <c r="D56" t="s">
        <v>57</v>
      </c>
      <c r="I56" t="s">
        <v>48</v>
      </c>
      <c r="J56" t="s">
        <v>49</v>
      </c>
    </row>
    <row r="57" spans="1:13" x14ac:dyDescent="0.25">
      <c r="A57">
        <f>J60*0.7</f>
        <v>1835.1200000000001</v>
      </c>
      <c r="B57">
        <f>J60-A57-C57</f>
        <v>524.32000000000016</v>
      </c>
      <c r="C57">
        <f>J60*0.1</f>
        <v>262.16000000000003</v>
      </c>
      <c r="D57">
        <f>J61</f>
        <v>655.39999999999964</v>
      </c>
      <c r="I57" t="s">
        <v>50</v>
      </c>
      <c r="J57">
        <v>5277</v>
      </c>
    </row>
    <row r="58" spans="1:13" x14ac:dyDescent="0.25">
      <c r="I58" t="s">
        <v>51</v>
      </c>
      <c r="J58">
        <v>2000</v>
      </c>
    </row>
    <row r="59" spans="1:13" x14ac:dyDescent="0.25">
      <c r="I59" t="s">
        <v>52</v>
      </c>
      <c r="J59">
        <f>J57-J58</f>
        <v>3277</v>
      </c>
    </row>
    <row r="60" spans="1:13" x14ac:dyDescent="0.25">
      <c r="I60" t="s">
        <v>53</v>
      </c>
      <c r="J60">
        <f>J59*0.8</f>
        <v>2621.6000000000004</v>
      </c>
    </row>
    <row r="61" spans="1:13" x14ac:dyDescent="0.25">
      <c r="I61" t="s">
        <v>54</v>
      </c>
      <c r="J61">
        <f>J59-J60</f>
        <v>655.39999999999964</v>
      </c>
    </row>
  </sheetData>
  <mergeCells count="4">
    <mergeCell ref="A2:G2"/>
    <mergeCell ref="I2:O2"/>
    <mergeCell ref="I55:M55"/>
    <mergeCell ref="A55:G55"/>
  </mergeCells>
  <conditionalFormatting sqref="F19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N1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workbookViewId="0">
      <selection activeCell="A9" sqref="A9:E17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  <col min="5" max="5" width="11.5703125" bestFit="1" customWidth="1"/>
    <col min="6" max="6" width="14.7109375" bestFit="1" customWidth="1"/>
    <col min="7" max="7" width="18.28515625" bestFit="1" customWidth="1"/>
    <col min="8" max="8" width="1.5703125" style="5" customWidth="1"/>
    <col min="9" max="9" width="10.7109375" bestFit="1" customWidth="1"/>
    <col min="11" max="11" width="10.42578125" bestFit="1" customWidth="1"/>
    <col min="13" max="13" width="9.85546875" bestFit="1" customWidth="1"/>
  </cols>
  <sheetData>
    <row r="2" spans="1:17" x14ac:dyDescent="0.25">
      <c r="A2" s="11" t="s">
        <v>6</v>
      </c>
      <c r="B2" s="11"/>
      <c r="C2" s="11"/>
      <c r="D2" s="11"/>
      <c r="E2" s="11"/>
      <c r="F2" s="11"/>
      <c r="G2" s="11"/>
      <c r="I2" s="11" t="s">
        <v>7</v>
      </c>
      <c r="J2" s="11"/>
      <c r="K2" s="11"/>
      <c r="L2" s="11"/>
      <c r="M2" s="11"/>
      <c r="N2" t="s">
        <v>11</v>
      </c>
      <c r="O2" t="s">
        <v>8</v>
      </c>
    </row>
    <row r="4" spans="1:17" x14ac:dyDescent="0.25">
      <c r="A4" t="s">
        <v>4</v>
      </c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5</v>
      </c>
      <c r="I4" t="s">
        <v>4</v>
      </c>
      <c r="J4" t="s">
        <v>0</v>
      </c>
      <c r="K4" t="s">
        <v>10</v>
      </c>
      <c r="L4" t="s">
        <v>1</v>
      </c>
      <c r="M4" t="s">
        <v>2</v>
      </c>
    </row>
    <row r="5" spans="1:17" x14ac:dyDescent="0.25">
      <c r="A5" s="1">
        <v>43489</v>
      </c>
      <c r="B5" t="s">
        <v>9</v>
      </c>
      <c r="C5">
        <v>41.37</v>
      </c>
      <c r="D5">
        <v>7</v>
      </c>
      <c r="E5">
        <f>C5*D5</f>
        <v>289.58999999999997</v>
      </c>
      <c r="F5">
        <v>8.2200000000000006</v>
      </c>
      <c r="G5">
        <f>E5+F5</f>
        <v>297.81</v>
      </c>
      <c r="I5" s="1">
        <v>43521</v>
      </c>
      <c r="J5" t="s">
        <v>9</v>
      </c>
      <c r="K5">
        <v>40.07</v>
      </c>
      <c r="L5">
        <v>7</v>
      </c>
      <c r="M5">
        <f>K5*L5</f>
        <v>280.49</v>
      </c>
      <c r="N5" s="2">
        <f>(M5/G5)-1</f>
        <v>-5.815788590040627E-2</v>
      </c>
      <c r="O5">
        <f>M5-G5</f>
        <v>-17.319999999999993</v>
      </c>
    </row>
    <row r="6" spans="1:17" x14ac:dyDescent="0.25">
      <c r="A6" s="1">
        <v>43507</v>
      </c>
      <c r="B6" t="s">
        <v>12</v>
      </c>
      <c r="C6">
        <v>12.95</v>
      </c>
      <c r="D6">
        <v>30</v>
      </c>
      <c r="E6">
        <f>C6*D6</f>
        <v>388.5</v>
      </c>
      <c r="F6">
        <v>8.2200000000000006</v>
      </c>
      <c r="G6">
        <f t="shared" ref="G6:G8" si="0">E6+F6</f>
        <v>396.72</v>
      </c>
      <c r="I6" s="1">
        <v>43521</v>
      </c>
      <c r="J6" t="s">
        <v>12</v>
      </c>
      <c r="K6">
        <v>12.26</v>
      </c>
      <c r="L6">
        <v>30</v>
      </c>
      <c r="M6">
        <f t="shared" ref="M6:M8" si="1">K6*L6</f>
        <v>367.8</v>
      </c>
      <c r="N6" s="2">
        <f t="shared" ref="N6:N8" si="2">(M6/G6)-1</f>
        <v>-7.2897761645493109E-2</v>
      </c>
      <c r="O6">
        <f t="shared" ref="O6:O8" si="3">M6-G6</f>
        <v>-28.920000000000016</v>
      </c>
    </row>
    <row r="7" spans="1:17" x14ac:dyDescent="0.25">
      <c r="A7" s="1">
        <v>43507</v>
      </c>
      <c r="B7" t="s">
        <v>13</v>
      </c>
      <c r="C7">
        <v>42.25</v>
      </c>
      <c r="D7">
        <v>9</v>
      </c>
      <c r="E7">
        <f>C7*D7</f>
        <v>380.25</v>
      </c>
      <c r="F7">
        <v>8.2200000000000006</v>
      </c>
      <c r="G7">
        <f t="shared" si="0"/>
        <v>388.47</v>
      </c>
      <c r="I7" s="1">
        <v>43521</v>
      </c>
      <c r="J7" t="s">
        <v>13</v>
      </c>
      <c r="K7">
        <v>46.74</v>
      </c>
      <c r="L7">
        <v>9</v>
      </c>
      <c r="M7">
        <f t="shared" si="1"/>
        <v>420.66</v>
      </c>
      <c r="N7" s="2">
        <f t="shared" si="2"/>
        <v>8.2863541586222889E-2</v>
      </c>
      <c r="O7">
        <f t="shared" si="3"/>
        <v>32.19</v>
      </c>
    </row>
    <row r="8" spans="1:17" x14ac:dyDescent="0.25">
      <c r="A8" s="1">
        <v>43508</v>
      </c>
      <c r="B8" t="s">
        <v>9</v>
      </c>
      <c r="C8">
        <v>38.979999999999997</v>
      </c>
      <c r="D8">
        <v>5</v>
      </c>
      <c r="E8">
        <f>C8*D8</f>
        <v>194.89999999999998</v>
      </c>
      <c r="F8">
        <v>8.2200000000000006</v>
      </c>
      <c r="G8">
        <f t="shared" si="0"/>
        <v>203.11999999999998</v>
      </c>
      <c r="I8" s="1">
        <v>43521</v>
      </c>
      <c r="J8" t="s">
        <v>9</v>
      </c>
      <c r="K8">
        <v>40.07</v>
      </c>
      <c r="L8">
        <v>5</v>
      </c>
      <c r="M8">
        <f t="shared" si="1"/>
        <v>200.35</v>
      </c>
      <c r="N8" s="2">
        <f t="shared" si="2"/>
        <v>-1.3637258763292581E-2</v>
      </c>
      <c r="O8">
        <f t="shared" si="3"/>
        <v>-2.7699999999999818</v>
      </c>
    </row>
    <row r="11" spans="1:17" x14ac:dyDescent="0.25">
      <c r="Q11">
        <v>3841</v>
      </c>
    </row>
    <row r="12" spans="1:17" x14ac:dyDescent="0.25">
      <c r="Q12">
        <v>903</v>
      </c>
    </row>
    <row r="13" spans="1:17" x14ac:dyDescent="0.25">
      <c r="Q13">
        <v>530</v>
      </c>
    </row>
    <row r="14" spans="1:17" x14ac:dyDescent="0.25">
      <c r="Q14">
        <v>1000</v>
      </c>
    </row>
    <row r="16" spans="1:17" x14ac:dyDescent="0.25">
      <c r="Q16">
        <f>SUM(Q11:Q15)</f>
        <v>6274</v>
      </c>
    </row>
    <row r="17" spans="5:17" x14ac:dyDescent="0.25">
      <c r="G17">
        <f>SUM(G5:G16)</f>
        <v>1286.1199999999999</v>
      </c>
      <c r="H17" s="5" t="s">
        <v>15</v>
      </c>
      <c r="I17" t="s">
        <v>16</v>
      </c>
      <c r="M17">
        <f>SUM(M5:M16)</f>
        <v>1269.3</v>
      </c>
      <c r="N17" t="s">
        <v>17</v>
      </c>
      <c r="O17">
        <f>SUM(O4:O16)</f>
        <v>-16.819999999999993</v>
      </c>
    </row>
    <row r="19" spans="5:17" x14ac:dyDescent="0.25">
      <c r="E19" t="s">
        <v>14</v>
      </c>
      <c r="F19" s="3">
        <f>SUM(O5:O10)</f>
        <v>-16.819999999999993</v>
      </c>
      <c r="Q19">
        <v>4500</v>
      </c>
    </row>
    <row r="20" spans="5:17" x14ac:dyDescent="0.25">
      <c r="E20" t="s">
        <v>18</v>
      </c>
      <c r="F20" s="4">
        <f>(F19/G17)</f>
        <v>-1.3078095356576365E-2</v>
      </c>
      <c r="G20" t="s">
        <v>19</v>
      </c>
      <c r="Q20">
        <f>Q19*0.3</f>
        <v>1350</v>
      </c>
    </row>
  </sheetData>
  <mergeCells count="2">
    <mergeCell ref="A2:G2"/>
    <mergeCell ref="I2:M2"/>
  </mergeCells>
  <conditionalFormatting sqref="F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tabSelected="1" topLeftCell="A10" workbookViewId="0">
      <selection activeCell="B17" sqref="B17"/>
    </sheetView>
  </sheetViews>
  <sheetFormatPr defaultRowHeight="15" x14ac:dyDescent="0.25"/>
  <cols>
    <col min="1" max="1" width="19.85546875" bestFit="1" customWidth="1"/>
    <col min="2" max="2" width="19.5703125" bestFit="1" customWidth="1"/>
    <col min="3" max="3" width="12.85546875" bestFit="1" customWidth="1"/>
    <col min="7" max="7" width="11.5703125" bestFit="1" customWidth="1"/>
  </cols>
  <sheetData>
    <row r="1" spans="1:12" x14ac:dyDescent="0.25">
      <c r="A1" t="s">
        <v>62</v>
      </c>
      <c r="B1" t="s">
        <v>63</v>
      </c>
    </row>
    <row r="2" spans="1:12" ht="23.25" x14ac:dyDescent="0.35">
      <c r="A2" t="s">
        <v>64</v>
      </c>
      <c r="B2" s="9">
        <v>46000</v>
      </c>
      <c r="C2">
        <v>46000</v>
      </c>
      <c r="G2" s="11" t="s">
        <v>89</v>
      </c>
      <c r="H2" s="11"/>
      <c r="I2" s="11"/>
      <c r="J2" s="11"/>
      <c r="K2" s="11"/>
    </row>
    <row r="3" spans="1:12" ht="15.75" x14ac:dyDescent="0.25">
      <c r="A3" t="s">
        <v>65</v>
      </c>
      <c r="B3" s="10">
        <v>86400</v>
      </c>
      <c r="C3" t="s">
        <v>66</v>
      </c>
      <c r="G3" t="s">
        <v>88</v>
      </c>
      <c r="H3" t="s">
        <v>90</v>
      </c>
      <c r="L3" t="s">
        <v>91</v>
      </c>
    </row>
    <row r="4" spans="1:12" x14ac:dyDescent="0.25">
      <c r="A4" t="s">
        <v>67</v>
      </c>
      <c r="B4" s="8">
        <v>1318</v>
      </c>
      <c r="G4">
        <v>1</v>
      </c>
      <c r="H4">
        <f>L4*12</f>
        <v>13188</v>
      </c>
      <c r="L4">
        <v>1099</v>
      </c>
    </row>
    <row r="5" spans="1:12" x14ac:dyDescent="0.25">
      <c r="A5" t="s">
        <v>68</v>
      </c>
      <c r="B5" s="8">
        <v>251</v>
      </c>
      <c r="G5">
        <v>2</v>
      </c>
      <c r="H5">
        <f>H4*G5</f>
        <v>26376</v>
      </c>
    </row>
    <row r="6" spans="1:12" x14ac:dyDescent="0.25">
      <c r="A6" t="s">
        <v>69</v>
      </c>
      <c r="B6" s="8">
        <v>525</v>
      </c>
      <c r="G6">
        <v>3</v>
      </c>
      <c r="H6">
        <f>H4*G6</f>
        <v>39564</v>
      </c>
    </row>
    <row r="7" spans="1:12" x14ac:dyDescent="0.25">
      <c r="A7" t="s">
        <v>70</v>
      </c>
      <c r="B7" s="8">
        <v>415</v>
      </c>
    </row>
    <row r="8" spans="1:12" x14ac:dyDescent="0.25">
      <c r="A8" t="s">
        <v>71</v>
      </c>
      <c r="B8" s="8">
        <v>689</v>
      </c>
      <c r="G8" t="s">
        <v>92</v>
      </c>
      <c r="H8" t="s">
        <v>93</v>
      </c>
    </row>
    <row r="9" spans="1:12" x14ac:dyDescent="0.25">
      <c r="A9" t="s">
        <v>72</v>
      </c>
      <c r="B9" s="8">
        <v>415</v>
      </c>
      <c r="G9">
        <v>46000</v>
      </c>
      <c r="H9" s="8">
        <f>B23-L4</f>
        <v>94.726099833333137</v>
      </c>
    </row>
    <row r="10" spans="1:12" x14ac:dyDescent="0.25">
      <c r="A10" t="s">
        <v>73</v>
      </c>
      <c r="B10" s="8">
        <v>525</v>
      </c>
    </row>
    <row r="11" spans="1:12" x14ac:dyDescent="0.25">
      <c r="A11" t="s">
        <v>74</v>
      </c>
      <c r="B11" s="8">
        <f>B2*0.04</f>
        <v>1840</v>
      </c>
    </row>
    <row r="12" spans="1:12" x14ac:dyDescent="0.25">
      <c r="A12" t="s">
        <v>75</v>
      </c>
      <c r="B12" s="8">
        <v>1600</v>
      </c>
    </row>
    <row r="13" spans="1:12" x14ac:dyDescent="0.25">
      <c r="A13" t="s">
        <v>76</v>
      </c>
      <c r="B13" s="8">
        <v>1300</v>
      </c>
      <c r="H13">
        <v>28644.92</v>
      </c>
      <c r="J13">
        <v>58220.17</v>
      </c>
    </row>
    <row r="14" spans="1:12" x14ac:dyDescent="0.25">
      <c r="A14" t="s">
        <v>77</v>
      </c>
      <c r="B14" s="8">
        <f>C2-C14</f>
        <v>11960</v>
      </c>
      <c r="C14" s="8">
        <f>C2-(0.26*C2)</f>
        <v>34040</v>
      </c>
      <c r="D14">
        <v>2019</v>
      </c>
      <c r="E14" s="4">
        <v>0.2</v>
      </c>
    </row>
    <row r="15" spans="1:12" x14ac:dyDescent="0.25">
      <c r="A15" t="s">
        <v>78</v>
      </c>
      <c r="B15" s="8">
        <f>C14-C15</f>
        <v>5106</v>
      </c>
      <c r="C15" s="8">
        <f>C14-(0.15*C14)</f>
        <v>28934</v>
      </c>
      <c r="D15">
        <v>2018</v>
      </c>
      <c r="E15" s="4">
        <v>0.1</v>
      </c>
      <c r="H15" t="s">
        <v>94</v>
      </c>
    </row>
    <row r="16" spans="1:12" x14ac:dyDescent="0.25">
      <c r="A16" t="s">
        <v>79</v>
      </c>
      <c r="B16" s="8">
        <f>C15-C16</f>
        <v>289.07959399999891</v>
      </c>
      <c r="C16" s="8">
        <f>C15-(0.009991*C15)</f>
        <v>28644.920406000001</v>
      </c>
      <c r="D16">
        <v>2016</v>
      </c>
      <c r="E16" s="4">
        <v>0.1</v>
      </c>
      <c r="H16">
        <f>J13-H13</f>
        <v>29575.25</v>
      </c>
    </row>
    <row r="17" spans="1:8" x14ac:dyDescent="0.25">
      <c r="A17" t="s">
        <v>80</v>
      </c>
      <c r="B17" s="8">
        <v>2600</v>
      </c>
      <c r="C17">
        <v>100</v>
      </c>
      <c r="H17" t="s">
        <v>95</v>
      </c>
    </row>
    <row r="18" spans="1:8" x14ac:dyDescent="0.25">
      <c r="A18" t="s">
        <v>81</v>
      </c>
      <c r="B18" s="8">
        <f>B17*0.94</f>
        <v>2444</v>
      </c>
      <c r="C18">
        <v>94</v>
      </c>
    </row>
    <row r="19" spans="1:8" x14ac:dyDescent="0.25">
      <c r="A19" t="s">
        <v>82</v>
      </c>
      <c r="B19" s="8">
        <f>B17*0.88</f>
        <v>2288</v>
      </c>
      <c r="C19">
        <v>88</v>
      </c>
    </row>
    <row r="20" spans="1:8" x14ac:dyDescent="0.25">
      <c r="A20" t="s">
        <v>83</v>
      </c>
      <c r="B20" s="8">
        <v>9409.06</v>
      </c>
    </row>
    <row r="22" spans="1:8" x14ac:dyDescent="0.25">
      <c r="A22" t="s">
        <v>84</v>
      </c>
      <c r="B22" s="8">
        <f>SUM(B4:B21)</f>
        <v>42974.139593999993</v>
      </c>
      <c r="G22" s="8"/>
    </row>
    <row r="23" spans="1:8" x14ac:dyDescent="0.25">
      <c r="A23" t="s">
        <v>85</v>
      </c>
      <c r="B23" s="8">
        <f>B22/36</f>
        <v>1193.7260998333331</v>
      </c>
    </row>
  </sheetData>
  <mergeCells count="1">
    <mergeCell ref="G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RENDA VAARIAVEL</vt:lpstr>
      <vt:lpstr>RENDA CONSERVADORA</vt:lpstr>
      <vt:lpstr>intenções</vt:lpstr>
      <vt:lpstr>casa</vt:lpstr>
      <vt:lpstr>carro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2019-03-10T14:57:38Z</dcterms:modified>
</cp:coreProperties>
</file>