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1 &amp; ch2" sheetId="1" r:id="rId4"/>
    <sheet state="visible" name="ch3 &amp; ch4" sheetId="2" r:id="rId5"/>
    <sheet state="visible" name="ch5 &amp; ch6" sheetId="3" r:id="rId6"/>
    <sheet state="visible" name="ch7 &amp; ch8" sheetId="4" r:id="rId7"/>
    <sheet state="visible" name="ch9 &amp; ch10" sheetId="5" r:id="rId8"/>
    <sheet state="visible" name="ch14" sheetId="6" r:id="rId9"/>
  </sheets>
  <definedNames/>
  <calcPr/>
</workbook>
</file>

<file path=xl/sharedStrings.xml><?xml version="1.0" encoding="utf-8"?>
<sst xmlns="http://schemas.openxmlformats.org/spreadsheetml/2006/main" count="757" uniqueCount="464">
  <si>
    <t>Chapter 1</t>
  </si>
  <si>
    <t>Key Terms</t>
  </si>
  <si>
    <t>Qualitative</t>
  </si>
  <si>
    <t>Data describing categories or qualities.</t>
  </si>
  <si>
    <t>Quantitative</t>
  </si>
  <si>
    <t>Data measured in numerical values.</t>
  </si>
  <si>
    <t>Ratio</t>
  </si>
  <si>
    <t>Numeric data with a true zero and equal intervals.</t>
  </si>
  <si>
    <t>Nominal</t>
  </si>
  <si>
    <t>Categorical data with no inherent order.</t>
  </si>
  <si>
    <t>Interval</t>
  </si>
  <si>
    <t>Numeric data with equal intervals but no true zero.</t>
  </si>
  <si>
    <t>Ordinal</t>
  </si>
  <si>
    <t>Categorical data with a meaningful order.</t>
  </si>
  <si>
    <t>Chapter 2</t>
  </si>
  <si>
    <t>Frequency Distribution</t>
  </si>
  <si>
    <t>Table showing how often values occur</t>
  </si>
  <si>
    <t>Relative frequency distribution</t>
  </si>
  <si>
    <t>Table showing proportion of total for each value</t>
  </si>
  <si>
    <t>Cumulative frequency distribution</t>
  </si>
  <si>
    <t>Table showing running totals of frequencies</t>
  </si>
  <si>
    <t>Stem</t>
  </si>
  <si>
    <t>Leading digit(s) in a stem-and-leaf plot</t>
  </si>
  <si>
    <t>Leaf</t>
  </si>
  <si>
    <t>Final digit in a stem-and-leaf plot</t>
  </si>
  <si>
    <t>Trend</t>
  </si>
  <si>
    <t>General direction data moves over time</t>
  </si>
  <si>
    <t>Histogram</t>
  </si>
  <si>
    <t>Bar graph showing frequency of data intervals</t>
  </si>
  <si>
    <t>Exercises</t>
  </si>
  <si>
    <t>Question 1</t>
  </si>
  <si>
    <t xml:space="preserve">Identify the type of data​ (qualitative/quantitative) and the level of measurement for the following variable. </t>
  </si>
  <si>
    <t>The average weight left parenthesis in pounds right parenthesis of a sample of rocks collected in the waters of a region.</t>
  </si>
  <si>
    <t>R: Quantitative (numerical) and Ratio (data have a true zero and can be meaningfully measured)</t>
  </si>
  <si>
    <t>Question 2</t>
  </si>
  <si>
    <t>Data</t>
  </si>
  <si>
    <t>n</t>
  </si>
  <si>
    <t>Frequency</t>
  </si>
  <si>
    <t>Relative Frequency</t>
  </si>
  <si>
    <t>k</t>
  </si>
  <si>
    <t>Cumulative relative frequency</t>
  </si>
  <si>
    <t>est. class width</t>
  </si>
  <si>
    <t>Rule for split frequency: 2^k &gt;= n</t>
  </si>
  <si>
    <t>k = number of classes needed for split</t>
  </si>
  <si>
    <t>estimated class width = (max value - min value)/k</t>
  </si>
  <si>
    <t>Class</t>
  </si>
  <si>
    <t>13 - &lt;19</t>
  </si>
  <si>
    <t>19 - &lt;25</t>
  </si>
  <si>
    <t>25 - &lt;31</t>
  </si>
  <si>
    <t>31 - &lt;37</t>
  </si>
  <si>
    <t>37 - &lt;43</t>
  </si>
  <si>
    <t>Chapter 3</t>
  </si>
  <si>
    <t>Mean</t>
  </si>
  <si>
    <t>Average of all data values</t>
  </si>
  <si>
    <t>Median</t>
  </si>
  <si>
    <t>Middle value when data is ordered</t>
  </si>
  <si>
    <t>Mode</t>
  </si>
  <si>
    <t>Most frequently occurring value</t>
  </si>
  <si>
    <t>Shape of Distribution</t>
  </si>
  <si>
    <t>Overall pattern of data spread</t>
  </si>
  <si>
    <t>Range</t>
  </si>
  <si>
    <t>Difference between highest and lowest values</t>
  </si>
  <si>
    <t>Population Variance</t>
  </si>
  <si>
    <t>Average squared deviation from the mean</t>
  </si>
  <si>
    <t>Standard Deviation</t>
  </si>
  <si>
    <t>Measure of spread around the mean.</t>
  </si>
  <si>
    <t>Coefficient of Variation</t>
  </si>
  <si>
    <t>Relative standard deviation as a percentage of the mean</t>
  </si>
  <si>
    <t>z-score</t>
  </si>
  <si>
    <t>Standardized value showing distance from the mean in standard deviations</t>
  </si>
  <si>
    <t>percentile</t>
  </si>
  <si>
    <t>Value below which a given percent of data falls</t>
  </si>
  <si>
    <t>quartile</t>
  </si>
  <si>
    <t>One of three values dividing data into four equal parts</t>
  </si>
  <si>
    <t>interquartile range</t>
  </si>
  <si>
    <t>Difference between the third and first quartiles (Q3 − Q1).</t>
  </si>
  <si>
    <t>sample covariance</t>
  </si>
  <si>
    <t>Measure of how two variables vary together.</t>
  </si>
  <si>
    <t>sample correlation coefficient</t>
  </si>
  <si>
    <t>Standardized measure of the strength and direction of a linear relationship between two variables.</t>
  </si>
  <si>
    <t>Chapter 4</t>
  </si>
  <si>
    <t>probability</t>
  </si>
  <si>
    <t>Likelihood of an event occurring.</t>
  </si>
  <si>
    <t>empirical</t>
  </si>
  <si>
    <t>Probability based on observed data</t>
  </si>
  <si>
    <t>subjective</t>
  </si>
  <si>
    <t>Probability based on personal judgment or belief.</t>
  </si>
  <si>
    <t>classical</t>
  </si>
  <si>
    <t>Probability based on equally likely outcomes</t>
  </si>
  <si>
    <t>Bayes' Theorem</t>
  </si>
  <si>
    <t>Formula to update probability based on new evidence.</t>
  </si>
  <si>
    <t>independent events</t>
  </si>
  <si>
    <t>Events where the outcome of one does not affect the outcome of the other</t>
  </si>
  <si>
    <t>Considering the following two sample data sets, calculate:</t>
  </si>
  <si>
    <t>a) Mean</t>
  </si>
  <si>
    <t>d) Range</t>
  </si>
  <si>
    <t>e) coefficient of variation</t>
  </si>
  <si>
    <t>b) Median</t>
  </si>
  <si>
    <t>e) Variance</t>
  </si>
  <si>
    <t>c) Mode</t>
  </si>
  <si>
    <t>f) standard Deviation</t>
  </si>
  <si>
    <t>Variance</t>
  </si>
  <si>
    <t>Set 01</t>
  </si>
  <si>
    <t>Set 02</t>
  </si>
  <si>
    <t>Set_1:</t>
  </si>
  <si>
    <t>Set_2:</t>
  </si>
  <si>
    <t>nenhum valor repete, entao n tem moda</t>
  </si>
  <si>
    <t xml:space="preserve">Assume the average price of a laptop computer is​ $800 with a standard deviation of ​$70. </t>
  </si>
  <si>
    <t>Z-Score</t>
  </si>
  <si>
    <t>The following data represent the prices of a sample of laptops at an electronics store. Calculate the​ z-score for each of the following prices.</t>
  </si>
  <si>
    <t>X</t>
  </si>
  <si>
    <t>std. dev.</t>
  </si>
  <si>
    <t>Question 3</t>
  </si>
  <si>
    <t>15th percentile</t>
  </si>
  <si>
    <t>85th percentile</t>
  </si>
  <si>
    <t>a) 15th percentile</t>
  </si>
  <si>
    <t>d) second quartile</t>
  </si>
  <si>
    <t>e) sample covariance</t>
  </si>
  <si>
    <t>i</t>
  </si>
  <si>
    <t>i (next integer)</t>
  </si>
  <si>
    <t>First Quartile</t>
  </si>
  <si>
    <t>b) 85th percentile</t>
  </si>
  <si>
    <t>e) third quartile</t>
  </si>
  <si>
    <t>f) sample correlation coefficient</t>
  </si>
  <si>
    <t>Second Quartile</t>
  </si>
  <si>
    <t>c) first quartile</t>
  </si>
  <si>
    <t>f) interquartile range</t>
  </si>
  <si>
    <t>Third Quartile</t>
  </si>
  <si>
    <t>sample correlation coef</t>
  </si>
  <si>
    <t>Question 4</t>
  </si>
  <si>
    <t>Consider the grouped sample data.</t>
  </si>
  <si>
    <t>values</t>
  </si>
  <si>
    <t>frequency</t>
  </si>
  <si>
    <t>midpoint</t>
  </si>
  <si>
    <t>X-mean</t>
  </si>
  <si>
    <t>(X-mean)^2</t>
  </si>
  <si>
    <t>Calculate Mean:</t>
  </si>
  <si>
    <t>10 - 30</t>
  </si>
  <si>
    <t>30 - 50</t>
  </si>
  <si>
    <t>Calculate Standard Variation:</t>
  </si>
  <si>
    <t>50 - 70</t>
  </si>
  <si>
    <t>70 - 90</t>
  </si>
  <si>
    <t>Question 5</t>
  </si>
  <si>
    <r>
      <rPr>
        <rFont val="Arial"/>
        <color theme="1"/>
      </rPr>
      <t xml:space="preserve">The probability that the local bakery will sell more than five loaves of bread tomorrow is an example of </t>
    </r>
    <r>
      <rPr>
        <rFont val="Arial"/>
        <b/>
        <color theme="1"/>
      </rPr>
      <t>Empirical Probability</t>
    </r>
  </si>
  <si>
    <r>
      <rPr>
        <rFont val="Arial"/>
        <color theme="1"/>
      </rPr>
      <t xml:space="preserve">​The probability that a company's new product will succeed is an example of </t>
    </r>
    <r>
      <rPr>
        <rFont val="Arial"/>
        <b/>
        <color theme="1"/>
      </rPr>
      <t>Subjective Probability</t>
    </r>
  </si>
  <si>
    <r>
      <rPr>
        <rFont val="Arial"/>
        <color theme="1"/>
      </rPr>
      <t xml:space="preserve">​The probability that five coins will land on heads is an example of </t>
    </r>
    <r>
      <rPr>
        <rFont val="Arial"/>
        <b/>
        <color theme="1"/>
      </rPr>
      <t>Classical Probability</t>
    </r>
  </si>
  <si>
    <t>Question 6</t>
  </si>
  <si>
    <t>_</t>
  </si>
  <si>
    <t>Event_A</t>
  </si>
  <si>
    <t>Event_B</t>
  </si>
  <si>
    <t>P(A and C)</t>
  </si>
  <si>
    <t>Probability</t>
  </si>
  <si>
    <t>Event_C</t>
  </si>
  <si>
    <t>P(A and D)</t>
  </si>
  <si>
    <t>Event_D</t>
  </si>
  <si>
    <t>P(B and E)</t>
  </si>
  <si>
    <t>Event_E</t>
  </si>
  <si>
    <t>P(A and B)</t>
  </si>
  <si>
    <t>Question 7</t>
  </si>
  <si>
    <t>P(B|D)</t>
  </si>
  <si>
    <t>P(B)</t>
  </si>
  <si>
    <t>P(D)</t>
  </si>
  <si>
    <t>P(D|B)</t>
  </si>
  <si>
    <t>Question 8</t>
  </si>
  <si>
    <t>P(A U B)</t>
  </si>
  <si>
    <t>P(A U B) = P(A) + P(B) - P(A n B)</t>
  </si>
  <si>
    <t>P(A)</t>
  </si>
  <si>
    <t>P(A n B)</t>
  </si>
  <si>
    <t>Chapter 5</t>
  </si>
  <si>
    <t>Binomial Distribution</t>
  </si>
  <si>
    <t>Probability distribution of successes in fixed independent trials with two outcomes.</t>
  </si>
  <si>
    <t>Poisson Probability</t>
  </si>
  <si>
    <t>Probability of a given number of events occurring in a fixed interval with a known average rate.</t>
  </si>
  <si>
    <t>discrete probability distribution</t>
  </si>
  <si>
    <t>Lists probabilities of all possible outcomes of a discrete random variable.</t>
  </si>
  <si>
    <t>Expected Monetary Value</t>
  </si>
  <si>
    <t>Weighted average of possible financial outcomes based on their probabilities.</t>
  </si>
  <si>
    <t>Chapter 6</t>
  </si>
  <si>
    <t>normal distribution</t>
  </si>
  <si>
    <t>Symmetrical distribution shaped like a bell curve.</t>
  </si>
  <si>
    <t>bell shape</t>
  </si>
  <si>
    <t>A smooth, symmetric curve that peaks at the mean and tapers off equally on both sides.</t>
  </si>
  <si>
    <t>Exponencial Probability</t>
  </si>
  <si>
    <t>Models the time between events in a Poisson process.</t>
  </si>
  <si>
    <t xml:space="preserve">continuous uniform distribution </t>
  </si>
  <si>
    <t>Probability distribution where all outcomes in an interval are equally likely.</t>
  </si>
  <si>
    <t>qualquer prob com peso</t>
  </si>
  <si>
    <t>The owner of two​ fast-food restaurants has recorded customer satisfaction ratings for both locations on a scale of 1 to 5</t>
  </si>
  <si>
    <t>a. Calculate the mean satisfaction rating at each location.</t>
  </si>
  <si>
    <t>b. Calculate the standard deviation of each distribution.</t>
  </si>
  <si>
    <t>Rating</t>
  </si>
  <si>
    <t>Restaurant_A</t>
  </si>
  <si>
    <t>Restaurant_B</t>
  </si>
  <si>
    <t>EMV</t>
  </si>
  <si>
    <t xml:space="preserve">A candy company developed a new consumer product that is expected to earn ​$6000 in profit each year if consumer demand is​ low, </t>
  </si>
  <si>
    <t>​$19000 per year if consumer demand is​ moderate, and ​$32000 per year if consumer demand is high.</t>
  </si>
  <si>
    <t xml:space="preserve">The probability of​ low, moderate, and high demand is 30%, 50%, and 20%, respectively. </t>
  </si>
  <si>
    <t>Determine the expected monetary value​ (EMV) for the new product.</t>
  </si>
  <si>
    <t>Demand Level</t>
  </si>
  <si>
    <t>Profit</t>
  </si>
  <si>
    <t>Low</t>
  </si>
  <si>
    <t>Moderate</t>
  </si>
  <si>
    <t>High</t>
  </si>
  <si>
    <t>binomial distribution</t>
  </si>
  <si>
    <t xml:space="preserve"> Find the mean, variance, and standard deviation of a binomial distribution with:</t>
  </si>
  <si>
    <t>p</t>
  </si>
  <si>
    <t>Calculate binomial probabilities with p=0.3 and n=9</t>
  </si>
  <si>
    <t>x</t>
  </si>
  <si>
    <t>P(x)</t>
  </si>
  <si>
    <t>less than 3</t>
  </si>
  <si>
    <t>&gt;= 7</t>
  </si>
  <si>
    <t>Consider the Poisson probability distribution with lambda = 16.8. Determine the mean and standard deviation of this distribution.</t>
  </si>
  <si>
    <t>Poisson probability</t>
  </si>
  <si>
    <t>lambda</t>
  </si>
  <si>
    <t>Consider the Poisson probability distribution with lambda = 16.8. Determine the probabilities:</t>
  </si>
  <si>
    <t>&gt;6</t>
  </si>
  <si>
    <t>&lt;=3</t>
  </si>
  <si>
    <t>For a standard normal​ distribution, determine the probabilities:</t>
  </si>
  <si>
    <t>x1</t>
  </si>
  <si>
    <t>x2</t>
  </si>
  <si>
    <t>P(z)</t>
  </si>
  <si>
    <t>P(z≤1.53)</t>
  </si>
  <si>
    <t>-</t>
  </si>
  <si>
    <t>P(z≤−1.26)</t>
  </si>
  <si>
    <t>P(−0.87≤z≤1.79)</t>
  </si>
  <si>
    <t>P(0.39≤z≤2.19)</t>
  </si>
  <si>
    <t xml:space="preserve">A random variable follows the normal probability distribution with a mean of 100 and a standard deviation of 10. </t>
  </si>
  <si>
    <t>Determine the probability for a randomly selected value from this population</t>
  </si>
  <si>
    <t>question</t>
  </si>
  <si>
    <t>&lt;90</t>
  </si>
  <si>
    <t>std. dev</t>
  </si>
  <si>
    <t>&lt;95</t>
  </si>
  <si>
    <t>&gt;130</t>
  </si>
  <si>
    <t>&gt;75</t>
  </si>
  <si>
    <t>Question 9</t>
  </si>
  <si>
    <t>An exponential probability distribution has lambda equal to 15 customers per hour. Find the following probabilities.</t>
  </si>
  <si>
    <t>Pe(X)</t>
  </si>
  <si>
    <t>Lambda</t>
  </si>
  <si>
    <t>lambda/min</t>
  </si>
  <si>
    <t>15sec</t>
  </si>
  <si>
    <t>Question 10</t>
  </si>
  <si>
    <t>A random variable follows the continuous uniform distribution between 140 and 310. Calculate the following quantities for the distribution</t>
  </si>
  <si>
    <t>questions</t>
  </si>
  <si>
    <t>X1</t>
  </si>
  <si>
    <t>X2</t>
  </si>
  <si>
    <t>P(x1 &lt;= x &lt;= x2)</t>
  </si>
  <si>
    <t>mean</t>
  </si>
  <si>
    <t>a</t>
  </si>
  <si>
    <t>P(200 ≤ x ≤ 260)</t>
  </si>
  <si>
    <t>b</t>
  </si>
  <si>
    <t>P(140 ≤ x ≤ 210)</t>
  </si>
  <si>
    <t>std dev</t>
  </si>
  <si>
    <t>P(x &gt; 180)</t>
  </si>
  <si>
    <t>Chapter 7</t>
  </si>
  <si>
    <t>population</t>
  </si>
  <si>
    <t>The entire group being studied or observed.</t>
  </si>
  <si>
    <t>sample</t>
  </si>
  <si>
    <t>A subset of the population used to draw conclusions</t>
  </si>
  <si>
    <t>sampling error</t>
  </si>
  <si>
    <t>The difference between a sample statistic and the actual population parameter.</t>
  </si>
  <si>
    <t>standard error of the mean</t>
  </si>
  <si>
    <t>The measure of how much the sample mean is expected to differ from the population mean.</t>
  </si>
  <si>
    <t>Chapter 8</t>
  </si>
  <si>
    <t>Variability</t>
  </si>
  <si>
    <t>The extent to which data points differ from each other.</t>
  </si>
  <si>
    <t>Confidence Interval</t>
  </si>
  <si>
    <t>A range of values likely to contain the true population parameter.</t>
  </si>
  <si>
    <t>Lower Limit</t>
  </si>
  <si>
    <t>The smallest value in a confidence interval.</t>
  </si>
  <si>
    <t>Upper Limit</t>
  </si>
  <si>
    <t>The largest value in a confidence interval.</t>
  </si>
  <si>
    <t>Margin of Error</t>
  </si>
  <si>
    <t>The maximum expected difference between the sample statistic and the true population parameter.</t>
  </si>
  <si>
    <t>t-Score</t>
  </si>
  <si>
    <t>A standardized value that measures how many standard errors a sample mean is from the population mean.</t>
  </si>
  <si>
    <t>Table for common z-score</t>
  </si>
  <si>
    <t>conf. interval</t>
  </si>
  <si>
    <t>alpha</t>
  </si>
  <si>
    <t>A realtor has 20 residential listings under contract. The following table shows the number of days each of these 20 houses has been on the market as of today.</t>
  </si>
  <si>
    <t>Mean Population</t>
  </si>
  <si>
    <t>Sampling Error</t>
  </si>
  <si>
    <t>For a population with a mean equal to 250 and a standard deviation equal to 35, calculate the standard error of the mean for the following sample sizes.</t>
  </si>
  <si>
    <t>sample size</t>
  </si>
  <si>
    <t>std error of mean</t>
  </si>
  <si>
    <t xml:space="preserve">For a normal population with a mean equal to 86 and a standard deviation equal to 10, </t>
  </si>
  <si>
    <t>determine the probability of observing a sample mean of 90 or less from a sample of size 19.</t>
  </si>
  <si>
    <t>Z-score</t>
  </si>
  <si>
    <t>P(x&lt;=1.20)</t>
  </si>
  <si>
    <t>sample mean</t>
  </si>
  <si>
    <t>For a population with a proportion equal to 0.26, calculate the standard error of the proportion for the following sample sizes.</t>
  </si>
  <si>
    <t>std error</t>
  </si>
  <si>
    <t>1-p</t>
  </si>
  <si>
    <t>A sample of 150 is drawn from a population with a proportion equal to 0.37 and a population size of 400.</t>
  </si>
  <si>
    <t>std error sample</t>
  </si>
  <si>
    <t>N-n formula</t>
  </si>
  <si>
    <t>std error pop</t>
  </si>
  <si>
    <t>proportion of X</t>
  </si>
  <si>
    <t>pop size</t>
  </si>
  <si>
    <t>.</t>
  </si>
  <si>
    <t>Construct confidence intervals to estimate population mean for the sample sizes</t>
  </si>
  <si>
    <t>Find UCL, LCL and Margin of Error (use sample mean, std dev pop, sample size and conf interval)</t>
  </si>
  <si>
    <t>std. error. pop</t>
  </si>
  <si>
    <t>Lower Limit (UCL)</t>
  </si>
  <si>
    <t>Upper Limit (UCL)</t>
  </si>
  <si>
    <t>std dev. sample (s)</t>
  </si>
  <si>
    <t>std dev. population</t>
  </si>
  <si>
    <t>When using (s)</t>
  </si>
  <si>
    <t>sample size (n)</t>
  </si>
  <si>
    <t>std. error sample</t>
  </si>
  <si>
    <t>degrees of freedom</t>
  </si>
  <si>
    <t>t-value</t>
  </si>
  <si>
    <t>population size (N)</t>
  </si>
  <si>
    <t>proportion (p)</t>
  </si>
  <si>
    <t>When using proportion (p)</t>
  </si>
  <si>
    <t>std. error. (p)</t>
  </si>
  <si>
    <t>Chapter 9</t>
  </si>
  <si>
    <t>P-value</t>
  </si>
  <si>
    <t xml:space="preserve">is the probability of the data given that the null hypothesis is true. </t>
  </si>
  <si>
    <t>Significance level</t>
  </si>
  <si>
    <t>The threshold probability of rejecting a true null hypothesis in a statistical test.</t>
  </si>
  <si>
    <t>P-value &lt; Significance level</t>
  </si>
  <si>
    <t>Reject the null hypothesis</t>
  </si>
  <si>
    <t>P-Value &gt; Significance level</t>
  </si>
  <si>
    <t>Fail to reject the null hypothesis</t>
  </si>
  <si>
    <t>z-test statistic</t>
  </si>
  <si>
    <t>A standardized value that measures how many standard errors a sample mean is from the hypothesized population mean.</t>
  </si>
  <si>
    <t>one tail test</t>
  </si>
  <si>
    <t>If H₁ uses "&gt;" or "&lt;", it's a one-tailed test</t>
  </si>
  <si>
    <t>two tail test</t>
  </si>
  <si>
    <t>If H₁ uses "≠", it's a two-tailed test</t>
  </si>
  <si>
    <t>Z-Score positive</t>
  </si>
  <si>
    <t>1-NORM.S.DIST</t>
  </si>
  <si>
    <t>Z-Score negative</t>
  </si>
  <si>
    <t>NORM.S.DIST</t>
  </si>
  <si>
    <t>H1: mean &gt; number (right tail)</t>
  </si>
  <si>
    <t>T.INV(1-$B$51, ($B$50-1))</t>
  </si>
  <si>
    <t>H1: mean &lt; number (left tail)</t>
  </si>
  <si>
    <t>T.INV($B$51, ($B$50-1))</t>
  </si>
  <si>
    <t>H1: mean != number (two-tail)</t>
  </si>
  <si>
    <t>T.INV.2T($B$51, ($B$50-1))</t>
  </si>
  <si>
    <t>Chapter 10</t>
  </si>
  <si>
    <t>Calculate the​ p-value for the following conditions and determine whether or not to reject the null hypothesis.</t>
  </si>
  <si>
    <t>z</t>
  </si>
  <si>
    <t>alpha (conf. lvl)</t>
  </si>
  <si>
    <t>P-Value</t>
  </si>
  <si>
    <t>P-value &gt; conf. lvl</t>
  </si>
  <si>
    <t xml:space="preserve">reject? </t>
  </si>
  <si>
    <t>one-tail test</t>
  </si>
  <si>
    <t>two-tail test</t>
  </si>
  <si>
    <t>Consider the hypotheses shown below.</t>
  </si>
  <si>
    <t>H0: mean &lt;=42</t>
  </si>
  <si>
    <t>with std.dev.pop</t>
  </si>
  <si>
    <t>(double check formula using key terms)</t>
  </si>
  <si>
    <t>H1: mean &gt; 42</t>
  </si>
  <si>
    <t>Z-test statistic</t>
  </si>
  <si>
    <t>Critical Z-Score</t>
  </si>
  <si>
    <t>p-value - conf. lvl.</t>
  </si>
  <si>
    <t>with (s)</t>
  </si>
  <si>
    <t>std. error. sample</t>
  </si>
  <si>
    <t>Critical t-Score</t>
  </si>
  <si>
    <t>(double check the T formula for right/left/2tail)</t>
  </si>
  <si>
    <t>Find critical t-score</t>
  </si>
  <si>
    <t>hypothesized pop mean</t>
  </si>
  <si>
    <t>one-tail</t>
  </si>
  <si>
    <t>two-tail</t>
  </si>
  <si>
    <t>H0: mean &lt;=30</t>
  </si>
  <si>
    <t>H1: mean &gt; 30</t>
  </si>
  <si>
    <t>Critical Sample Mean</t>
  </si>
  <si>
    <t>beta (Type II Error)</t>
  </si>
  <si>
    <t>Consider the data to the right from two independent samples. Construct a 90% confidence interval to estimate the difference in population means.</t>
  </si>
  <si>
    <t>diff in sample means</t>
  </si>
  <si>
    <t>std. error. diff</t>
  </si>
  <si>
    <t>std dev population</t>
  </si>
  <si>
    <t>LCL</t>
  </si>
  <si>
    <t>UCL</t>
  </si>
  <si>
    <t>Conf. lvl (alpha)</t>
  </si>
  <si>
    <t>Consider the hypothesis statement to the right using alpha = 0.10 and the data to the right from two independent samples.</t>
  </si>
  <si>
    <t>​a) Calculate the appropriate test statistic and interpret the result.</t>
  </si>
  <si>
    <t>H0: mean1 - mean2 &lt;=0</t>
  </si>
  <si>
    <t>​b) Calculate the​ p-value and interpret the result.</t>
  </si>
  <si>
    <t>H1: mean1 - mean2 &gt; 0</t>
  </si>
  <si>
    <t>first half mean</t>
  </si>
  <si>
    <t>first std dev</t>
  </si>
  <si>
    <t>sample mean 1</t>
  </si>
  <si>
    <t>sample mean 2</t>
  </si>
  <si>
    <t>std dev population 1</t>
  </si>
  <si>
    <t>std dev population 2</t>
  </si>
  <si>
    <t>sample size pop 1 (n)</t>
  </si>
  <si>
    <t>sec half mean</t>
  </si>
  <si>
    <t>sample size pop 2 (n)</t>
  </si>
  <si>
    <t>conf. lvl. (alpha)</t>
  </si>
  <si>
    <t>Consider the hypothesis statement to the right using alpha = 0.05 and the data to the right from two independent samples.</t>
  </si>
  <si>
    <t>H0: mean1 - mean2 = 0</t>
  </si>
  <si>
    <t>H1: mean1 - mean2 != 0</t>
  </si>
  <si>
    <t>using std dev sample</t>
  </si>
  <si>
    <t>degree of freedom</t>
  </si>
  <si>
    <t>pooled variance</t>
  </si>
  <si>
    <t>t-test statistic</t>
  </si>
  <si>
    <t>Critical t-value</t>
  </si>
  <si>
    <t>std dev. sample 1 (s)</t>
  </si>
  <si>
    <t>std dev. sample 2 (s)</t>
  </si>
  <si>
    <t>Consider the hypothesis statement to the right using alpha = 0.1 and the data to the right from two independent samples.</t>
  </si>
  <si>
    <t>H0: p1 - p2 &gt;= 0</t>
  </si>
  <si>
    <t>H1: p1 - p2 &lt; 0</t>
  </si>
  <si>
    <t>sample proportions</t>
  </si>
  <si>
    <t>pooled proportion</t>
  </si>
  <si>
    <t>std. error.</t>
  </si>
  <si>
    <t>Consider the following data from two independent samples. Construct a 99% confidence interval to estimate the difference in population proportions.</t>
  </si>
  <si>
    <t>diff proportion</t>
  </si>
  <si>
    <t>Chapter 14</t>
  </si>
  <si>
    <t>Mean Squared Error</t>
  </si>
  <si>
    <t>The average of the squared differences between predicted and actual values.</t>
  </si>
  <si>
    <t>Mean Absolute Deviation</t>
  </si>
  <si>
    <t>The average of the absolute differences between data points and their mean.</t>
  </si>
  <si>
    <t>Mean Absolute Percentage Error</t>
  </si>
  <si>
    <t>The average absolute percentage difference between forecasted and actual values.</t>
  </si>
  <si>
    <t>forecasts</t>
  </si>
  <si>
    <t>Predicted values based on historical data or models.</t>
  </si>
  <si>
    <t>correlation coefficient</t>
  </si>
  <si>
    <t>A measure of the strength and direction of a linear relationship between two variables.</t>
  </si>
  <si>
    <t>slope</t>
  </si>
  <si>
    <t>The rate of change in the dependent variable for each unit change in the independent variable.</t>
  </si>
  <si>
    <t>intercept</t>
  </si>
  <si>
    <t>The predicted value when the independent variable equals zero.</t>
  </si>
  <si>
    <t>sum of squares (SST)</t>
  </si>
  <si>
    <t>Total variation in the dependent variable.</t>
  </si>
  <si>
    <t>SSR</t>
  </si>
  <si>
    <t>Portion of variation explained by the regression model.</t>
  </si>
  <si>
    <t>SSE</t>
  </si>
  <si>
    <t>Portion of variation not explained by the model (residual error).</t>
  </si>
  <si>
    <t>ANOVA</t>
  </si>
  <si>
    <t>Compares variances to test group mean differences.</t>
  </si>
  <si>
    <t>F-Score</t>
  </si>
  <si>
    <t>Ratio of explained to unexplained variance.</t>
  </si>
  <si>
    <t>coefficient of determination</t>
  </si>
  <si>
    <t>Proportion of variance explained by the model.</t>
  </si>
  <si>
    <t>regression</t>
  </si>
  <si>
    <t>Predicts a dependent variable from one or more independent variables.</t>
  </si>
  <si>
    <t>Calculate the correlation coefficient for the following ordered pairs.</t>
  </si>
  <si>
    <t>y</t>
  </si>
  <si>
    <t>corr coef.</t>
  </si>
  <si>
    <t>Consider the following set of ordered pairs.</t>
  </si>
  <si>
    <t>y_pred</t>
  </si>
  <si>
    <t>Mean (y)</t>
  </si>
  <si>
    <t>(y - y mean)^2</t>
  </si>
  <si>
    <t>(y - y_pred)^2</t>
  </si>
  <si>
    <t>Intercept</t>
  </si>
  <si>
    <t>Slope</t>
  </si>
  <si>
    <t>SST</t>
  </si>
  <si>
    <t>Coef. Det (R^2)</t>
  </si>
  <si>
    <t>critical F-Score</t>
  </si>
  <si>
    <t>Consider the set of ordered pairs shown below. Assuming that the regression equation is y_pred​=1.400+0.700x and the SSE = 13.0</t>
  </si>
  <si>
    <t>Contruct a 95% confidence interval for x = 5.</t>
  </si>
  <si>
    <t>x_mean</t>
  </si>
  <si>
    <t>x0</t>
  </si>
  <si>
    <t>SE</t>
  </si>
  <si>
    <t>margin of error</t>
  </si>
  <si>
    <t>y0_pred</t>
  </si>
  <si>
    <t>Consider the following set of ordered pairs. Test to determine if the slope is not equal to zero (hence two tail)</t>
  </si>
  <si>
    <t>Given Info:</t>
  </si>
  <si>
    <t>Sxx</t>
  </si>
  <si>
    <t>std error slope</t>
  </si>
  <si>
    <t>t-statistic</t>
  </si>
  <si>
    <t>critical t-value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</si>
</sst>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00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3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 vertical="center"/>
    </xf>
    <xf borderId="0" fillId="5" fontId="2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readingOrder="0"/>
    </xf>
    <xf borderId="0" fillId="4" fontId="2" numFmtId="0" xfId="0" applyAlignment="1" applyFont="1">
      <alignment horizontal="center"/>
    </xf>
    <xf borderId="0" fillId="6" fontId="2" numFmtId="0" xfId="0" applyAlignment="1" applyFill="1" applyFont="1">
      <alignment horizontal="center"/>
    </xf>
    <xf borderId="0" fillId="7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left" readingOrder="0" shrinkToFit="0" vertical="center" wrapText="1"/>
    </xf>
    <xf borderId="0" fillId="2" fontId="2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4" fontId="2" numFmtId="1" xfId="0" applyAlignment="1" applyFont="1" applyNumberFormat="1">
      <alignment horizontal="center"/>
    </xf>
    <xf borderId="0" fillId="4" fontId="2" numFmtId="0" xfId="0" applyFont="1"/>
    <xf borderId="0" fillId="5" fontId="2" numFmtId="0" xfId="0" applyAlignment="1" applyFont="1">
      <alignment readingOrder="0"/>
    </xf>
    <xf borderId="0" fillId="4" fontId="2" numFmtId="164" xfId="0" applyAlignment="1" applyFont="1" applyNumberFormat="1">
      <alignment horizontal="center"/>
    </xf>
    <xf borderId="0" fillId="2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2" numFmtId="0" xfId="0" applyFont="1"/>
    <xf borderId="0" fillId="0" fontId="2" numFmtId="0" xfId="0" applyAlignment="1" applyFont="1">
      <alignment horizontal="left"/>
    </xf>
    <xf borderId="0" fillId="2" fontId="2" numFmtId="2" xfId="0" applyAlignment="1" applyFont="1" applyNumberFormat="1">
      <alignment horizontal="center"/>
    </xf>
    <xf borderId="0" fillId="2" fontId="1" numFmtId="0" xfId="0" applyAlignment="1" applyFont="1">
      <alignment horizontal="right" readingOrder="0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1" numFmtId="2" xfId="0" applyAlignment="1" applyFont="1" applyNumberFormat="1">
      <alignment vertical="bottom"/>
    </xf>
    <xf borderId="0" fillId="3" fontId="1" numFmtId="0" xfId="0" applyAlignment="1" applyFont="1">
      <alignment vertical="bottom"/>
    </xf>
    <xf borderId="0" fillId="2" fontId="1" numFmtId="2" xfId="0" applyAlignment="1" applyFont="1" applyNumberFormat="1">
      <alignment horizontal="right" vertical="bottom"/>
    </xf>
    <xf borderId="0" fillId="2" fontId="1" numFmtId="0" xfId="0" applyAlignment="1" applyFont="1">
      <alignment horizontal="right" vertical="bottom"/>
    </xf>
    <xf borderId="0" fillId="2" fontId="1" numFmtId="165" xfId="0" applyAlignment="1" applyFont="1" applyNumberFormat="1">
      <alignment horizontal="right" vertical="bottom"/>
    </xf>
    <xf borderId="0" fillId="4" fontId="2" numFmtId="2" xfId="0" applyAlignment="1" applyFont="1" applyNumberFormat="1">
      <alignment horizontal="center" readingOrder="0"/>
    </xf>
    <xf borderId="0" fillId="4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4" fontId="1" numFmtId="0" xfId="0" applyAlignment="1" applyFont="1">
      <alignment horizontal="right" vertical="bottom"/>
    </xf>
    <xf borderId="0" fillId="3" fontId="2" numFmtId="0" xfId="0" applyAlignment="1" applyFont="1">
      <alignment readingOrder="0"/>
    </xf>
    <xf borderId="0" fillId="2" fontId="2" numFmtId="164" xfId="0" applyFont="1" applyNumberFormat="1"/>
    <xf borderId="0" fillId="2" fontId="2" numFmtId="2" xfId="0" applyFont="1" applyNumberFormat="1"/>
    <xf borderId="0" fillId="3" fontId="2" numFmtId="0" xfId="0" applyFont="1"/>
    <xf borderId="0" fillId="2" fontId="2" numFmtId="165" xfId="0" applyFont="1" applyNumberFormat="1"/>
    <xf borderId="0" fillId="4" fontId="2" numFmtId="165" xfId="0" applyFont="1" applyNumberFormat="1"/>
    <xf borderId="0" fillId="4" fontId="2" numFmtId="2" xfId="0" applyFont="1" applyNumberFormat="1"/>
    <xf borderId="0" fillId="2" fontId="2" numFmtId="0" xfId="0" applyAlignment="1" applyFont="1">
      <alignment horizontal="left" readingOrder="0"/>
    </xf>
    <xf borderId="0" fillId="4" fontId="2" numFmtId="9" xfId="0" applyAlignment="1" applyFont="1" applyNumberFormat="1">
      <alignment readingOrder="0"/>
    </xf>
    <xf borderId="0" fillId="4" fontId="2" numFmtId="164" xfId="0" applyFont="1" applyNumberFormat="1"/>
    <xf borderId="0" fillId="0" fontId="2" numFmtId="9" xfId="0" applyAlignment="1" applyFont="1" applyNumberFormat="1">
      <alignment readingOrder="0"/>
    </xf>
    <xf borderId="0" fillId="4" fontId="2" numFmtId="164" xfId="0" applyAlignment="1" applyFont="1" applyNumberFormat="1">
      <alignment readingOrder="0"/>
    </xf>
    <xf borderId="0" fillId="2" fontId="2" numFmtId="2" xfId="0" applyAlignment="1" applyFont="1" applyNumberFormat="1">
      <alignment readingOrder="0"/>
    </xf>
    <xf borderId="0" fillId="4" fontId="2" numFmtId="166" xfId="0" applyFont="1" applyNumberFormat="1"/>
    <xf borderId="0" fillId="2" fontId="2" numFmtId="166" xfId="0" applyFont="1" applyNumberFormat="1"/>
    <xf borderId="0" fillId="0" fontId="2" numFmtId="0" xfId="0" applyFont="1"/>
    <xf borderId="0" fillId="0" fontId="2" numFmtId="2" xfId="0" applyFont="1" applyNumberFormat="1"/>
    <xf borderId="0" fillId="2" fontId="1" numFmtId="0" xfId="0" applyAlignment="1" applyFont="1">
      <alignment horizontal="center" readingOrder="0"/>
    </xf>
    <xf borderId="0" fillId="2" fontId="2" numFmtId="2" xfId="0" applyAlignment="1" applyFont="1" applyNumberForma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63"/>
    <col customWidth="1" min="4" max="4" width="23.0"/>
  </cols>
  <sheetData>
    <row r="1">
      <c r="A1" s="1" t="s">
        <v>0</v>
      </c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 t="s">
        <v>2</v>
      </c>
      <c r="B5" s="5" t="s">
        <v>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 t="s">
        <v>4</v>
      </c>
      <c r="B6" s="5" t="s">
        <v>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 t="s">
        <v>6</v>
      </c>
      <c r="B7" s="5" t="s">
        <v>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 t="s">
        <v>8</v>
      </c>
      <c r="B8" s="5" t="s">
        <v>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 t="s">
        <v>10</v>
      </c>
      <c r="B9" s="5" t="s">
        <v>11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 t="s">
        <v>12</v>
      </c>
      <c r="B10" s="5" t="s">
        <v>13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 t="s">
        <v>14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 t="s">
        <v>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8" t="s">
        <v>15</v>
      </c>
      <c r="C17" s="9" t="s">
        <v>16</v>
      </c>
      <c r="D17" s="10"/>
      <c r="E17" s="1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 t="s">
        <v>17</v>
      </c>
      <c r="C18" s="9" t="s">
        <v>18</v>
      </c>
      <c r="D18" s="10"/>
      <c r="E18" s="1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 t="s">
        <v>19</v>
      </c>
      <c r="C19" s="9" t="s">
        <v>20</v>
      </c>
      <c r="D19" s="10"/>
      <c r="E19" s="1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 t="s">
        <v>21</v>
      </c>
      <c r="C20" s="9" t="s">
        <v>22</v>
      </c>
      <c r="D20" s="10"/>
      <c r="E20" s="1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 t="s">
        <v>23</v>
      </c>
      <c r="C21" s="9" t="s">
        <v>24</v>
      </c>
      <c r="D21" s="10"/>
      <c r="E21" s="1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 t="s">
        <v>25</v>
      </c>
      <c r="C22" s="9" t="s">
        <v>26</v>
      </c>
      <c r="D22" s="10"/>
      <c r="E22" s="1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" t="s">
        <v>27</v>
      </c>
      <c r="C23" s="9" t="s">
        <v>28</v>
      </c>
      <c r="D23" s="10"/>
      <c r="E23" s="1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2" t="s">
        <v>29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3" t="s">
        <v>31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9.25" customHeight="1">
      <c r="A34" s="13" t="s">
        <v>32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4"/>
      <c r="B35" s="14"/>
      <c r="C35" s="14"/>
      <c r="D35" s="14"/>
      <c r="E35" s="14"/>
      <c r="F35" s="1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 t="s">
        <v>33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7" t="s">
        <v>34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8" t="s">
        <v>35</v>
      </c>
      <c r="F42" s="7" t="s">
        <v>36</v>
      </c>
      <c r="G42" s="15" t="s">
        <v>37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8">
        <v>17.6</v>
      </c>
      <c r="B43" s="8">
        <v>21.1</v>
      </c>
      <c r="C43" s="8">
        <v>33.2</v>
      </c>
      <c r="D43" s="8">
        <v>14.4</v>
      </c>
      <c r="E43" s="8">
        <v>26.9</v>
      </c>
      <c r="F43" s="10">
        <f>COUNT(A43:E48)</f>
        <v>30</v>
      </c>
      <c r="G43" s="15" t="s">
        <v>38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8">
        <v>33.7</v>
      </c>
      <c r="B44" s="8">
        <v>40.1</v>
      </c>
      <c r="C44" s="8">
        <v>35.4</v>
      </c>
      <c r="D44" s="8">
        <v>27.1</v>
      </c>
      <c r="E44" s="8">
        <v>21.7</v>
      </c>
      <c r="F44" s="7" t="s">
        <v>39</v>
      </c>
      <c r="G44" s="15" t="s">
        <v>40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8">
        <v>31.6</v>
      </c>
      <c r="B45" s="8">
        <v>36.8</v>
      </c>
      <c r="C45" s="8">
        <v>20.8</v>
      </c>
      <c r="D45" s="8">
        <v>15.6</v>
      </c>
      <c r="E45" s="8">
        <v>13.8</v>
      </c>
      <c r="F45" s="10">
        <f>5</f>
        <v>5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8">
        <v>21.7</v>
      </c>
      <c r="B46" s="8">
        <v>21.9</v>
      </c>
      <c r="C46" s="8">
        <v>28.4</v>
      </c>
      <c r="D46" s="8">
        <v>15.2</v>
      </c>
      <c r="E46" s="8">
        <v>42.6</v>
      </c>
      <c r="F46" s="7" t="s">
        <v>41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8">
        <v>19.3</v>
      </c>
      <c r="B47" s="8">
        <v>29.9</v>
      </c>
      <c r="C47" s="8">
        <v>32.7</v>
      </c>
      <c r="D47" s="8">
        <v>23.6</v>
      </c>
      <c r="E47" s="8">
        <v>14.7</v>
      </c>
      <c r="F47" s="16">
        <f>(MAX(A43:E48)-MIN(A43:E48))/F45</f>
        <v>5.76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8">
        <v>19.6</v>
      </c>
      <c r="B48" s="8">
        <v>19.7</v>
      </c>
      <c r="C48" s="8">
        <v>19.5</v>
      </c>
      <c r="D48" s="8">
        <v>24.1</v>
      </c>
      <c r="E48" s="8">
        <v>35.6</v>
      </c>
      <c r="F48" s="10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7"/>
      <c r="B49" s="17"/>
      <c r="C49" s="17"/>
      <c r="D49" s="17"/>
      <c r="E49" s="10"/>
      <c r="F49" s="1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8" t="s">
        <v>42</v>
      </c>
      <c r="D50" s="17"/>
      <c r="E50" s="10"/>
      <c r="F50" s="1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8" t="s">
        <v>43</v>
      </c>
      <c r="D51" s="17"/>
      <c r="E51" s="10"/>
      <c r="F51" s="10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8" t="s">
        <v>44</v>
      </c>
      <c r="D52" s="17"/>
      <c r="E52" s="10"/>
      <c r="F52" s="10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7"/>
      <c r="B53" s="17"/>
      <c r="C53" s="17"/>
      <c r="D53" s="17"/>
      <c r="E53" s="10"/>
      <c r="F53" s="10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8" t="s">
        <v>45</v>
      </c>
      <c r="B54" s="7" t="s">
        <v>37</v>
      </c>
      <c r="C54" s="7" t="s">
        <v>38</v>
      </c>
      <c r="D54" s="7" t="s">
        <v>40</v>
      </c>
      <c r="E54" s="10"/>
      <c r="F54" s="10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8" t="s">
        <v>46</v>
      </c>
      <c r="B55" s="8">
        <v>6.0</v>
      </c>
      <c r="C55" s="19">
        <f t="shared" ref="C55:C59" si="1">B55/$F$43</f>
        <v>0.2</v>
      </c>
      <c r="D55" s="19">
        <f>C55</f>
        <v>0.2</v>
      </c>
      <c r="E55" s="10"/>
      <c r="F55" s="10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8" t="s">
        <v>47</v>
      </c>
      <c r="B56" s="8">
        <v>11.0</v>
      </c>
      <c r="C56" s="19">
        <f t="shared" si="1"/>
        <v>0.3666666667</v>
      </c>
      <c r="D56" s="19">
        <f t="shared" ref="D56:D59" si="2">D55+C56</f>
        <v>0.5666666667</v>
      </c>
      <c r="E56" s="10"/>
      <c r="F56" s="10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8" t="s">
        <v>48</v>
      </c>
      <c r="B57" s="8">
        <v>4.0</v>
      </c>
      <c r="C57" s="19">
        <f t="shared" si="1"/>
        <v>0.1333333333</v>
      </c>
      <c r="D57" s="19">
        <f t="shared" si="2"/>
        <v>0.7</v>
      </c>
      <c r="E57" s="10"/>
      <c r="F57" s="10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8" t="s">
        <v>49</v>
      </c>
      <c r="B58" s="8">
        <v>7.0</v>
      </c>
      <c r="C58" s="19">
        <f t="shared" si="1"/>
        <v>0.2333333333</v>
      </c>
      <c r="D58" s="19">
        <f t="shared" si="2"/>
        <v>0.9333333333</v>
      </c>
      <c r="E58" s="10"/>
      <c r="F58" s="10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8" t="s">
        <v>50</v>
      </c>
      <c r="B59" s="8">
        <v>2.0</v>
      </c>
      <c r="C59" s="19">
        <f t="shared" si="1"/>
        <v>0.06666666667</v>
      </c>
      <c r="D59" s="19">
        <f t="shared" si="2"/>
        <v>1</v>
      </c>
      <c r="E59" s="10"/>
      <c r="F59" s="1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7">
    <mergeCell ref="A1:E2"/>
    <mergeCell ref="A4:E4"/>
    <mergeCell ref="B5:E5"/>
    <mergeCell ref="B6:E6"/>
    <mergeCell ref="B7:E7"/>
    <mergeCell ref="B8:E8"/>
    <mergeCell ref="B9:E9"/>
    <mergeCell ref="B10:E10"/>
    <mergeCell ref="A13:E14"/>
    <mergeCell ref="A16:E16"/>
    <mergeCell ref="A17:B17"/>
    <mergeCell ref="A18:B18"/>
    <mergeCell ref="A19:B19"/>
    <mergeCell ref="A20:B20"/>
    <mergeCell ref="A36:F36"/>
    <mergeCell ref="A41:F41"/>
    <mergeCell ref="A42:E42"/>
    <mergeCell ref="A50:C50"/>
    <mergeCell ref="A51:C51"/>
    <mergeCell ref="A52:C52"/>
    <mergeCell ref="A21:B21"/>
    <mergeCell ref="A22:B22"/>
    <mergeCell ref="A23:B23"/>
    <mergeCell ref="A27:F28"/>
    <mergeCell ref="A32:F32"/>
    <mergeCell ref="A33:F33"/>
    <mergeCell ref="A34:F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16.38"/>
    <col customWidth="1" min="3" max="3" width="24.63"/>
    <col customWidth="1" min="4" max="4" width="17.63"/>
    <col customWidth="1" min="5" max="5" width="18.13"/>
    <col customWidth="1" min="6" max="6" width="15.63"/>
    <col customWidth="1" min="7" max="7" width="16.0"/>
  </cols>
  <sheetData>
    <row r="1">
      <c r="A1" s="1" t="s">
        <v>51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4"/>
      <c r="B5" s="14"/>
      <c r="C5" s="14"/>
      <c r="D5" s="14"/>
      <c r="E5" s="14"/>
      <c r="F5" s="14"/>
      <c r="G5" s="14"/>
      <c r="H5" s="1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5" t="s">
        <v>52</v>
      </c>
      <c r="C6" s="20" t="s">
        <v>53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5" t="s">
        <v>54</v>
      </c>
      <c r="C7" s="20" t="s">
        <v>55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5" t="s">
        <v>56</v>
      </c>
      <c r="C8" s="20" t="s">
        <v>57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5" t="s">
        <v>58</v>
      </c>
      <c r="C9" s="20" t="s">
        <v>59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5" t="s">
        <v>60</v>
      </c>
      <c r="C10" s="20" t="s">
        <v>61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5" t="s">
        <v>62</v>
      </c>
      <c r="C11" s="20" t="s">
        <v>63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5" t="s">
        <v>64</v>
      </c>
      <c r="C12" s="20" t="s">
        <v>65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5" t="s">
        <v>66</v>
      </c>
      <c r="C13" s="20" t="s">
        <v>67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5" t="s">
        <v>68</v>
      </c>
      <c r="C14" s="20" t="s">
        <v>69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5" t="s">
        <v>70</v>
      </c>
      <c r="C15" s="20" t="s">
        <v>71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5" t="s">
        <v>72</v>
      </c>
      <c r="C16" s="20" t="s">
        <v>73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5" t="s">
        <v>74</v>
      </c>
      <c r="C17" s="20" t="s">
        <v>75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5" t="s">
        <v>76</v>
      </c>
      <c r="C18" s="20" t="s">
        <v>77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5" t="s">
        <v>78</v>
      </c>
      <c r="C19" s="20" t="s">
        <v>79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6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6" t="s">
        <v>80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7" t="s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8" t="s">
        <v>81</v>
      </c>
      <c r="C25" s="9" t="s">
        <v>82</v>
      </c>
      <c r="F25" s="10"/>
      <c r="G25" s="10"/>
      <c r="H25" s="10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8" t="s">
        <v>83</v>
      </c>
      <c r="C26" s="9" t="s">
        <v>84</v>
      </c>
      <c r="F26" s="10"/>
      <c r="G26" s="10"/>
      <c r="H26" s="1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8" t="s">
        <v>85</v>
      </c>
      <c r="C27" s="9" t="s">
        <v>86</v>
      </c>
      <c r="F27" s="10"/>
      <c r="G27" s="10"/>
      <c r="H27" s="10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8" t="s">
        <v>87</v>
      </c>
      <c r="C28" s="9" t="s">
        <v>88</v>
      </c>
      <c r="F28" s="10"/>
      <c r="G28" s="10"/>
      <c r="H28" s="10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8" t="s">
        <v>89</v>
      </c>
      <c r="C29" s="9" t="s">
        <v>90</v>
      </c>
      <c r="F29" s="10"/>
      <c r="G29" s="10"/>
      <c r="H29" s="10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8" t="s">
        <v>91</v>
      </c>
      <c r="C30" s="9" t="s">
        <v>92</v>
      </c>
      <c r="F30" s="10"/>
      <c r="G30" s="10"/>
      <c r="H30" s="10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21"/>
      <c r="C31" s="2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2" t="s">
        <v>29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4" t="s">
        <v>30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20" t="s">
        <v>93</v>
      </c>
      <c r="I38" s="15" t="s">
        <v>52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20" t="s">
        <v>94</v>
      </c>
      <c r="B39" s="20" t="s">
        <v>95</v>
      </c>
      <c r="C39" s="5" t="s">
        <v>96</v>
      </c>
      <c r="D39" s="5"/>
      <c r="E39" s="14"/>
      <c r="F39" s="14"/>
      <c r="G39" s="14"/>
      <c r="H39" s="14"/>
      <c r="I39" s="15" t="s">
        <v>54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20" t="s">
        <v>97</v>
      </c>
      <c r="B40" s="20" t="s">
        <v>98</v>
      </c>
      <c r="C40" s="14"/>
      <c r="D40" s="14"/>
      <c r="E40" s="14"/>
      <c r="F40" s="14"/>
      <c r="G40" s="14"/>
      <c r="H40" s="14"/>
      <c r="I40" s="15" t="s">
        <v>56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5" t="s">
        <v>99</v>
      </c>
      <c r="B41" s="20" t="s">
        <v>100</v>
      </c>
      <c r="C41" s="14"/>
      <c r="D41" s="14"/>
      <c r="E41" s="14"/>
      <c r="F41" s="14"/>
      <c r="G41" s="14"/>
      <c r="H41" s="14"/>
      <c r="I41" s="15" t="s">
        <v>60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23"/>
      <c r="B42" s="23"/>
      <c r="C42" s="14"/>
      <c r="D42" s="14"/>
      <c r="E42" s="14"/>
      <c r="F42" s="14"/>
      <c r="G42" s="14"/>
      <c r="H42" s="14"/>
      <c r="I42" s="15" t="s">
        <v>101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5" t="s">
        <v>35</v>
      </c>
      <c r="C43" s="23"/>
      <c r="D43" s="23"/>
      <c r="E43" s="14"/>
      <c r="F43" s="4" t="s">
        <v>102</v>
      </c>
      <c r="G43" s="4" t="s">
        <v>103</v>
      </c>
      <c r="H43" s="14"/>
      <c r="I43" s="15" t="s">
        <v>64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5" t="s">
        <v>104</v>
      </c>
      <c r="B44" s="5" t="s">
        <v>105</v>
      </c>
      <c r="C44" s="23"/>
      <c r="D44" s="23"/>
      <c r="E44" s="4" t="s">
        <v>52</v>
      </c>
      <c r="F44" s="14">
        <f t="shared" ref="F44:G44" si="1">AVERAGE(A45:A49)</f>
        <v>18.6</v>
      </c>
      <c r="G44" s="14">
        <f t="shared" si="1"/>
        <v>3.8</v>
      </c>
      <c r="H44" s="14"/>
      <c r="I44" s="15" t="s">
        <v>66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5">
        <v>11.0</v>
      </c>
      <c r="B45" s="5">
        <v>1.0</v>
      </c>
      <c r="C45" s="23"/>
      <c r="D45" s="23"/>
      <c r="E45" s="4" t="s">
        <v>54</v>
      </c>
      <c r="F45" s="14">
        <f t="shared" ref="F45:G45" si="2">MEDIAN(A45:A49)</f>
        <v>19</v>
      </c>
      <c r="G45" s="14">
        <f t="shared" si="2"/>
        <v>3</v>
      </c>
      <c r="H45" s="14"/>
      <c r="I45" s="24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5">
        <v>21.0</v>
      </c>
      <c r="B46" s="5">
        <v>6.0</v>
      </c>
      <c r="C46" s="23"/>
      <c r="D46" s="23"/>
      <c r="E46" s="4" t="s">
        <v>56</v>
      </c>
      <c r="F46" s="5" t="s">
        <v>106</v>
      </c>
      <c r="H46" s="14"/>
      <c r="I46" s="2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5">
        <v>16.0</v>
      </c>
      <c r="B47" s="5">
        <v>0.0</v>
      </c>
      <c r="C47" s="23"/>
      <c r="D47" s="23"/>
      <c r="E47" s="4" t="s">
        <v>60</v>
      </c>
      <c r="F47" s="14">
        <f t="shared" ref="F47:G47" si="3">MAX(A45:A49)-MIN(A45:A49)</f>
        <v>15</v>
      </c>
      <c r="G47" s="14">
        <f t="shared" si="3"/>
        <v>9</v>
      </c>
      <c r="H47" s="14"/>
      <c r="I47" s="2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5">
        <v>26.0</v>
      </c>
      <c r="B48" s="5">
        <v>3.0</v>
      </c>
      <c r="C48" s="23"/>
      <c r="D48" s="23"/>
      <c r="E48" s="4" t="s">
        <v>101</v>
      </c>
      <c r="F48" s="14">
        <f t="shared" ref="F48:G48" si="4">VAR(A45:A49)</f>
        <v>31.3</v>
      </c>
      <c r="G48" s="14">
        <f t="shared" si="4"/>
        <v>13.7</v>
      </c>
      <c r="H48" s="14"/>
      <c r="I48" s="24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5">
        <v>19.0</v>
      </c>
      <c r="B49" s="5">
        <v>9.0</v>
      </c>
      <c r="C49" s="23"/>
      <c r="D49" s="23"/>
      <c r="E49" s="4" t="s">
        <v>64</v>
      </c>
      <c r="F49" s="14">
        <f t="shared" ref="F49:G49" si="5">STDEV(A45:A49)</f>
        <v>5.594640292</v>
      </c>
      <c r="G49" s="14">
        <f t="shared" si="5"/>
        <v>3.701351105</v>
      </c>
      <c r="H49" s="14"/>
      <c r="I49" s="2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14"/>
      <c r="B50" s="14"/>
      <c r="C50" s="23"/>
      <c r="D50" s="23"/>
      <c r="E50" s="4" t="s">
        <v>66</v>
      </c>
      <c r="F50" s="25">
        <f t="shared" ref="F50:G50" si="6">STDEV(A45:A49)/F44*100</f>
        <v>30.07871125</v>
      </c>
      <c r="G50" s="25">
        <f t="shared" si="6"/>
        <v>97.40397644</v>
      </c>
      <c r="H50" s="14"/>
      <c r="I50" s="2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24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24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4" t="s">
        <v>34</v>
      </c>
      <c r="I53" s="24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20" t="s">
        <v>107</v>
      </c>
      <c r="I54" s="15" t="s">
        <v>108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20" t="s">
        <v>109</v>
      </c>
      <c r="I55" s="24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23"/>
      <c r="B56" s="23"/>
      <c r="C56" s="14"/>
      <c r="D56" s="14"/>
      <c r="E56" s="14"/>
      <c r="F56" s="14"/>
      <c r="G56" s="14"/>
      <c r="H56" s="14"/>
      <c r="I56" s="24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5" t="s">
        <v>35</v>
      </c>
      <c r="B57" s="5" t="s">
        <v>110</v>
      </c>
      <c r="C57" s="14"/>
      <c r="D57" s="14"/>
      <c r="E57" s="4" t="s">
        <v>108</v>
      </c>
      <c r="F57" s="14"/>
      <c r="G57" s="14"/>
      <c r="H57" s="14"/>
      <c r="I57" s="24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5" t="s">
        <v>52</v>
      </c>
      <c r="B58" s="5">
        <v>691.0</v>
      </c>
      <c r="C58" s="14"/>
      <c r="D58" s="14"/>
      <c r="E58" s="25">
        <f t="shared" ref="E58:E62" si="7">(B58-$A$59)/$A$61</f>
        <v>-1.557142857</v>
      </c>
      <c r="F58" s="14"/>
      <c r="G58" s="14"/>
      <c r="H58" s="14"/>
      <c r="I58" s="24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5">
        <v>800.0</v>
      </c>
      <c r="B59" s="5">
        <v>631.0</v>
      </c>
      <c r="C59" s="14"/>
      <c r="D59" s="14"/>
      <c r="E59" s="25">
        <f t="shared" si="7"/>
        <v>-2.414285714</v>
      </c>
      <c r="F59" s="14"/>
      <c r="G59" s="14"/>
      <c r="H59" s="14"/>
      <c r="I59" s="24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5" t="s">
        <v>111</v>
      </c>
      <c r="B60" s="5">
        <v>996.0</v>
      </c>
      <c r="C60" s="14"/>
      <c r="D60" s="14"/>
      <c r="E60" s="25">
        <f t="shared" si="7"/>
        <v>2.8</v>
      </c>
      <c r="F60" s="14"/>
      <c r="G60" s="14"/>
      <c r="H60" s="14"/>
      <c r="I60" s="24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5">
        <v>70.0</v>
      </c>
      <c r="B61" s="5">
        <v>969.0</v>
      </c>
      <c r="C61" s="14"/>
      <c r="D61" s="14"/>
      <c r="E61" s="25">
        <f t="shared" si="7"/>
        <v>2.414285714</v>
      </c>
      <c r="F61" s="14"/>
      <c r="G61" s="14"/>
      <c r="H61" s="14"/>
      <c r="I61" s="24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14"/>
      <c r="B62" s="5">
        <v>852.0</v>
      </c>
      <c r="C62" s="14"/>
      <c r="D62" s="14"/>
      <c r="E62" s="25">
        <f t="shared" si="7"/>
        <v>0.7428571429</v>
      </c>
      <c r="F62" s="14"/>
      <c r="G62" s="14"/>
      <c r="H62" s="14"/>
      <c r="I62" s="2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2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2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4" t="s">
        <v>112</v>
      </c>
      <c r="I65" s="15" t="s">
        <v>113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20" t="s">
        <v>93</v>
      </c>
      <c r="I66" s="15" t="s">
        <v>114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20" t="s">
        <v>115</v>
      </c>
      <c r="B67" s="20" t="s">
        <v>116</v>
      </c>
      <c r="C67" s="5" t="s">
        <v>117</v>
      </c>
      <c r="D67" s="5"/>
      <c r="E67" s="4" t="s">
        <v>70</v>
      </c>
      <c r="F67" s="4" t="s">
        <v>118</v>
      </c>
      <c r="G67" s="4" t="s">
        <v>119</v>
      </c>
      <c r="H67" s="14"/>
      <c r="I67" s="15" t="s">
        <v>120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20" t="s">
        <v>121</v>
      </c>
      <c r="B68" s="20" t="s">
        <v>122</v>
      </c>
      <c r="C68" s="5" t="s">
        <v>123</v>
      </c>
      <c r="D68" s="5"/>
      <c r="E68" s="4">
        <v>15.0</v>
      </c>
      <c r="F68" s="14">
        <f>E68/100*COUNT(A73:A82)</f>
        <v>1.5</v>
      </c>
      <c r="G68" s="5">
        <v>2.0</v>
      </c>
      <c r="H68" s="14"/>
      <c r="I68" s="15" t="s">
        <v>124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5" t="s">
        <v>125</v>
      </c>
      <c r="B69" s="20" t="s">
        <v>126</v>
      </c>
      <c r="C69" s="14"/>
      <c r="D69" s="14"/>
      <c r="E69" s="4">
        <v>85.0</v>
      </c>
      <c r="F69" s="14">
        <f>E69/100*COUNT(A73:A82)</f>
        <v>8.5</v>
      </c>
      <c r="G69" s="5">
        <v>9.0</v>
      </c>
      <c r="H69" s="14"/>
      <c r="I69" s="15" t="s">
        <v>127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23"/>
      <c r="B70" s="23"/>
      <c r="C70" s="14"/>
      <c r="D70" s="14"/>
      <c r="E70" s="14"/>
      <c r="F70" s="14"/>
      <c r="G70" s="14"/>
      <c r="H70" s="14"/>
      <c r="I70" s="15" t="s">
        <v>74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5" t="s">
        <v>35</v>
      </c>
      <c r="C71" s="23"/>
      <c r="D71" s="23"/>
      <c r="E71" s="14"/>
      <c r="F71" s="14"/>
      <c r="G71" s="14"/>
      <c r="H71" s="14"/>
      <c r="I71" s="15" t="s">
        <v>76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5" t="s">
        <v>104</v>
      </c>
      <c r="B72" s="5" t="s">
        <v>105</v>
      </c>
      <c r="C72" s="23"/>
      <c r="D72" s="23"/>
      <c r="E72" s="23"/>
      <c r="F72" s="4" t="s">
        <v>102</v>
      </c>
      <c r="G72" s="4" t="s">
        <v>103</v>
      </c>
      <c r="H72" s="14"/>
      <c r="I72" s="15" t="s">
        <v>128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5">
        <v>5.0</v>
      </c>
      <c r="B73" s="5">
        <v>7.0</v>
      </c>
      <c r="C73" s="23"/>
      <c r="D73" s="23"/>
      <c r="E73" s="4" t="s">
        <v>113</v>
      </c>
      <c r="F73" s="5">
        <v>8.0</v>
      </c>
      <c r="G73" s="5">
        <v>11.0</v>
      </c>
      <c r="H73" s="14"/>
      <c r="I73" s="24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4">
        <v>8.0</v>
      </c>
      <c r="B74" s="4">
        <v>11.0</v>
      </c>
      <c r="C74" s="23"/>
      <c r="D74" s="23"/>
      <c r="E74" s="4" t="s">
        <v>114</v>
      </c>
      <c r="F74" s="5">
        <v>71.0</v>
      </c>
      <c r="G74" s="5">
        <v>75.0</v>
      </c>
      <c r="H74" s="14"/>
      <c r="I74" s="2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5">
        <v>26.0</v>
      </c>
      <c r="B75" s="5">
        <v>13.0</v>
      </c>
      <c r="C75" s="23"/>
      <c r="D75" s="23"/>
      <c r="E75" s="4" t="s">
        <v>120</v>
      </c>
      <c r="F75" s="14">
        <f t="shared" ref="F75:G75" si="8">QUARTILE(A$73:A$82, 1)</f>
        <v>27.5</v>
      </c>
      <c r="G75" s="14">
        <f t="shared" si="8"/>
        <v>18</v>
      </c>
      <c r="H75" s="14"/>
      <c r="I75" s="2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5">
        <v>32.0</v>
      </c>
      <c r="B76" s="5">
        <v>33.0</v>
      </c>
      <c r="C76" s="23"/>
      <c r="D76" s="23"/>
      <c r="E76" s="4" t="s">
        <v>124</v>
      </c>
      <c r="F76" s="14">
        <f t="shared" ref="F76:G76" si="9">QUARTILE(A$73:A$82, 2)</f>
        <v>43.5</v>
      </c>
      <c r="G76" s="14">
        <f t="shared" si="9"/>
        <v>54</v>
      </c>
      <c r="H76" s="14"/>
      <c r="I76" s="24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5">
        <v>34.0</v>
      </c>
      <c r="B77" s="5">
        <v>48.0</v>
      </c>
      <c r="C77" s="23"/>
      <c r="D77" s="23"/>
      <c r="E77" s="4" t="s">
        <v>127</v>
      </c>
      <c r="F77" s="14">
        <f t="shared" ref="F77:G77" si="10">QUARTILE(A$73:A$82, 3)</f>
        <v>54</v>
      </c>
      <c r="G77" s="14">
        <f t="shared" si="10"/>
        <v>63.25</v>
      </c>
      <c r="H77" s="14"/>
      <c r="I77" s="2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5">
        <v>53.0</v>
      </c>
      <c r="B78" s="5">
        <v>60.0</v>
      </c>
      <c r="C78" s="23"/>
      <c r="D78" s="23"/>
      <c r="E78" s="4" t="s">
        <v>74</v>
      </c>
      <c r="F78" s="14">
        <f t="shared" ref="F78:G78" si="11">F77-F75</f>
        <v>26.5</v>
      </c>
      <c r="G78" s="14">
        <f t="shared" si="11"/>
        <v>45.25</v>
      </c>
      <c r="H78" s="14"/>
      <c r="I78" s="24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5">
        <v>54.0</v>
      </c>
      <c r="B79" s="5">
        <v>61.0</v>
      </c>
      <c r="C79" s="23"/>
      <c r="D79" s="23"/>
      <c r="E79" s="4" t="s">
        <v>76</v>
      </c>
      <c r="F79" s="25">
        <f>_xlfn.COVARIANCE.S(A73:A82, B73:B82)</f>
        <v>731.9333333</v>
      </c>
      <c r="H79" s="14"/>
      <c r="I79" s="2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5">
        <v>54.0</v>
      </c>
      <c r="B80" s="5">
        <v>64.0</v>
      </c>
      <c r="C80" s="14"/>
      <c r="D80" s="14"/>
      <c r="E80" s="4" t="s">
        <v>128</v>
      </c>
      <c r="F80" s="25">
        <f>CORREL(A73:A82, B73:B82)</f>
        <v>0.9637877609</v>
      </c>
      <c r="H80" s="14"/>
      <c r="I80" s="24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4">
        <v>71.0</v>
      </c>
      <c r="B81" s="4">
        <v>75.0</v>
      </c>
      <c r="C81" s="14"/>
      <c r="D81" s="14"/>
      <c r="E81" s="14"/>
      <c r="F81" s="14"/>
      <c r="G81" s="14"/>
      <c r="H81" s="14"/>
      <c r="I81" s="24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5">
        <v>90.0</v>
      </c>
      <c r="B82" s="5">
        <v>86.0</v>
      </c>
      <c r="C82" s="14"/>
      <c r="D82" s="14"/>
      <c r="E82" s="14"/>
      <c r="F82" s="14"/>
      <c r="G82" s="14"/>
      <c r="H82" s="14"/>
      <c r="I82" s="2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B83" s="3"/>
      <c r="C83" s="3"/>
      <c r="D83" s="3"/>
      <c r="E83" s="3"/>
      <c r="F83" s="3"/>
      <c r="G83" s="3"/>
      <c r="H83" s="3"/>
      <c r="I83" s="24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B84" s="3"/>
      <c r="C84" s="3"/>
      <c r="D84" s="3"/>
      <c r="E84" s="3"/>
      <c r="F84" s="3"/>
      <c r="G84" s="3"/>
      <c r="H84" s="3"/>
      <c r="I84" s="24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4" t="s">
        <v>129</v>
      </c>
      <c r="I85" s="2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20" t="s">
        <v>130</v>
      </c>
      <c r="B86" s="26"/>
      <c r="C86" s="14"/>
      <c r="D86" s="5"/>
      <c r="E86" s="25"/>
      <c r="G86" s="14"/>
      <c r="H86" s="14"/>
      <c r="I86" s="2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27" t="s">
        <v>131</v>
      </c>
      <c r="B87" s="27" t="s">
        <v>132</v>
      </c>
      <c r="C87" s="28" t="s">
        <v>133</v>
      </c>
      <c r="D87" s="27" t="s">
        <v>134</v>
      </c>
      <c r="E87" s="29" t="s">
        <v>135</v>
      </c>
      <c r="F87" s="29"/>
      <c r="G87" s="30" t="s">
        <v>136</v>
      </c>
      <c r="H87" s="14"/>
      <c r="I87" s="2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27" t="s">
        <v>137</v>
      </c>
      <c r="B88" s="31">
        <v>22.0</v>
      </c>
      <c r="C88" s="32">
        <v>20.0</v>
      </c>
      <c r="D88" s="31">
        <f t="shared" ref="D88:D91" si="12">C88-$G$34</f>
        <v>20</v>
      </c>
      <c r="E88" s="31">
        <f t="shared" ref="E88:E91" si="13">D88*D88</f>
        <v>400</v>
      </c>
      <c r="F88" s="28"/>
      <c r="G88" s="31">
        <f>(B88*C88+B89*C89+B90*C90+B91*C91)/B92</f>
        <v>53.87755102</v>
      </c>
      <c r="H88" s="14"/>
      <c r="I88" s="24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27" t="s">
        <v>138</v>
      </c>
      <c r="B89" s="31">
        <v>34.0</v>
      </c>
      <c r="C89" s="32">
        <v>40.0</v>
      </c>
      <c r="D89" s="31">
        <f t="shared" si="12"/>
        <v>40</v>
      </c>
      <c r="E89" s="31">
        <f t="shared" si="13"/>
        <v>1600</v>
      </c>
      <c r="F89" s="28"/>
      <c r="G89" s="30" t="s">
        <v>139</v>
      </c>
      <c r="I89" s="2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27" t="s">
        <v>140</v>
      </c>
      <c r="B90" s="31">
        <v>58.0</v>
      </c>
      <c r="C90" s="32">
        <v>60.0</v>
      </c>
      <c r="D90" s="31">
        <f t="shared" si="12"/>
        <v>60</v>
      </c>
      <c r="E90" s="31">
        <f t="shared" si="13"/>
        <v>3600</v>
      </c>
      <c r="F90" s="28"/>
      <c r="G90" s="33">
        <f>SQRT((E88*B88+E89*B89+E90*B90+E91*B91)/B92)</f>
        <v>57.33301693</v>
      </c>
      <c r="H90" s="14"/>
      <c r="I90" s="2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28" t="s">
        <v>141</v>
      </c>
      <c r="B91" s="31">
        <v>33.0</v>
      </c>
      <c r="C91" s="32">
        <v>80.0</v>
      </c>
      <c r="D91" s="31">
        <f t="shared" si="12"/>
        <v>80</v>
      </c>
      <c r="E91" s="31">
        <f t="shared" si="13"/>
        <v>6400</v>
      </c>
      <c r="F91" s="28"/>
      <c r="G91" s="28"/>
      <c r="H91" s="14"/>
      <c r="I91" s="24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28"/>
      <c r="B92" s="31">
        <f>SUM(B88:B91)</f>
        <v>147</v>
      </c>
      <c r="C92" s="28"/>
      <c r="D92" s="28"/>
      <c r="E92" s="28"/>
      <c r="F92" s="28"/>
      <c r="G92" s="28"/>
      <c r="H92" s="14"/>
      <c r="I92" s="24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24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2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7" t="s">
        <v>142</v>
      </c>
      <c r="I95" s="2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9" t="s">
        <v>143</v>
      </c>
      <c r="I96" s="2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9" t="s">
        <v>144</v>
      </c>
      <c r="I97" s="2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9" t="s">
        <v>145</v>
      </c>
      <c r="I98" s="2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B99" s="3"/>
      <c r="C99" s="3"/>
      <c r="D99" s="3"/>
      <c r="E99" s="3"/>
      <c r="F99" s="3"/>
      <c r="G99" s="3"/>
      <c r="H99" s="3"/>
      <c r="I99" s="2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B100" s="3"/>
      <c r="C100" s="3"/>
      <c r="D100" s="3"/>
      <c r="E100" s="3"/>
      <c r="F100" s="3"/>
      <c r="G100" s="3"/>
      <c r="H100" s="3"/>
      <c r="I100" s="2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7" t="s">
        <v>146</v>
      </c>
      <c r="I101" s="2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8" t="s">
        <v>147</v>
      </c>
      <c r="B102" s="8" t="s">
        <v>148</v>
      </c>
      <c r="C102" s="8" t="s">
        <v>149</v>
      </c>
      <c r="D102" s="10"/>
      <c r="E102" s="10"/>
      <c r="F102" s="7" t="s">
        <v>150</v>
      </c>
      <c r="G102" s="8">
        <f t="shared" ref="G102:G103" si="14">B103/SUM($B$103:$C$105)</f>
        <v>0.08</v>
      </c>
      <c r="H102" s="10"/>
      <c r="I102" s="15" t="s">
        <v>151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8" t="s">
        <v>152</v>
      </c>
      <c r="B103" s="8">
        <v>4.0</v>
      </c>
      <c r="C103" s="8">
        <v>3.0</v>
      </c>
      <c r="D103" s="10"/>
      <c r="E103" s="10"/>
      <c r="F103" s="7" t="s">
        <v>153</v>
      </c>
      <c r="G103" s="8">
        <f t="shared" si="14"/>
        <v>0.22</v>
      </c>
      <c r="H103" s="10"/>
      <c r="I103" s="2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8" t="s">
        <v>154</v>
      </c>
      <c r="B104" s="8">
        <v>11.0</v>
      </c>
      <c r="C104" s="8">
        <v>5.0</v>
      </c>
      <c r="D104" s="10"/>
      <c r="E104" s="10"/>
      <c r="F104" s="7" t="s">
        <v>155</v>
      </c>
      <c r="G104" s="8">
        <f>C105/SUM($B$103:$C$105)</f>
        <v>0.38</v>
      </c>
      <c r="H104" s="10"/>
      <c r="I104" s="2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8" t="s">
        <v>156</v>
      </c>
      <c r="B105" s="8">
        <v>8.0</v>
      </c>
      <c r="C105" s="8">
        <v>19.0</v>
      </c>
      <c r="D105" s="10"/>
      <c r="E105" s="10"/>
      <c r="F105" s="7" t="s">
        <v>157</v>
      </c>
      <c r="G105" s="8">
        <v>0.0</v>
      </c>
      <c r="H105" s="10"/>
      <c r="I105" s="2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2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24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7" t="s">
        <v>158</v>
      </c>
      <c r="I108" s="15" t="s">
        <v>159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8" t="s">
        <v>147</v>
      </c>
      <c r="B109" s="8" t="s">
        <v>148</v>
      </c>
      <c r="C109" s="8" t="s">
        <v>149</v>
      </c>
      <c r="D109" s="10"/>
      <c r="E109" s="10"/>
      <c r="F109" s="7" t="s">
        <v>160</v>
      </c>
      <c r="G109" s="8">
        <f>SUM(C110:C112)/SUM(B110:C112)</f>
        <v>0.58</v>
      </c>
      <c r="H109" s="10"/>
      <c r="I109" s="15" t="s">
        <v>89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8" t="s">
        <v>152</v>
      </c>
      <c r="B110" s="8">
        <v>5.0</v>
      </c>
      <c r="C110" s="8">
        <v>4.0</v>
      </c>
      <c r="D110" s="10"/>
      <c r="E110" s="10"/>
      <c r="F110" s="7" t="s">
        <v>161</v>
      </c>
      <c r="G110" s="8">
        <f>SUM(B111:C111)/SUM(B110:C112)</f>
        <v>0.64</v>
      </c>
      <c r="H110" s="10"/>
      <c r="I110" s="24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8" t="s">
        <v>154</v>
      </c>
      <c r="B111" s="8">
        <v>13.0</v>
      </c>
      <c r="C111" s="8">
        <v>19.0</v>
      </c>
      <c r="D111" s="10"/>
      <c r="E111" s="10"/>
      <c r="F111" s="7" t="s">
        <v>162</v>
      </c>
      <c r="G111" s="34">
        <f>C111/SUM(C110:C112)</f>
        <v>0.6551724138</v>
      </c>
      <c r="H111" s="10"/>
      <c r="I111" s="24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8" t="s">
        <v>156</v>
      </c>
      <c r="B112" s="8">
        <v>3.0</v>
      </c>
      <c r="C112" s="8">
        <v>6.0</v>
      </c>
      <c r="D112" s="10"/>
      <c r="E112" s="10"/>
      <c r="F112" s="7" t="s">
        <v>159</v>
      </c>
      <c r="G112" s="34">
        <f>G109*G111/G110</f>
        <v>0.59375</v>
      </c>
      <c r="H112" s="10"/>
      <c r="I112" s="24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24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24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7" t="s">
        <v>163</v>
      </c>
      <c r="I115" s="24" t="s">
        <v>164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5" t="s">
        <v>165</v>
      </c>
      <c r="B116" s="35"/>
      <c r="C116" s="10"/>
      <c r="D116" s="10"/>
      <c r="E116" s="10"/>
      <c r="F116" s="10"/>
      <c r="G116" s="10"/>
      <c r="H116" s="10"/>
      <c r="I116" s="24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5"/>
      <c r="B117" s="35"/>
      <c r="C117" s="10"/>
      <c r="D117" s="10"/>
      <c r="E117" s="10"/>
      <c r="F117" s="10"/>
      <c r="G117" s="10"/>
      <c r="H117" s="10"/>
      <c r="I117" s="24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6" t="s">
        <v>166</v>
      </c>
      <c r="B118" s="37">
        <v>0.84</v>
      </c>
      <c r="C118" s="10"/>
      <c r="D118" s="10"/>
      <c r="E118" s="10"/>
      <c r="F118" s="10"/>
      <c r="G118" s="10"/>
      <c r="H118" s="10"/>
      <c r="I118" s="24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6" t="s">
        <v>160</v>
      </c>
      <c r="B119" s="37">
        <v>0.78</v>
      </c>
      <c r="C119" s="10"/>
      <c r="D119" s="10"/>
      <c r="E119" s="10"/>
      <c r="F119" s="10"/>
      <c r="G119" s="10"/>
      <c r="H119" s="10"/>
      <c r="I119" s="24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6" t="s">
        <v>167</v>
      </c>
      <c r="B120" s="37">
        <v>0.75</v>
      </c>
      <c r="C120" s="10"/>
      <c r="D120" s="10"/>
      <c r="E120" s="10"/>
      <c r="F120" s="10"/>
      <c r="G120" s="10"/>
      <c r="H120" s="10"/>
      <c r="I120" s="24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6" t="s">
        <v>164</v>
      </c>
      <c r="B121" s="37">
        <f>B118+B119-B120</f>
        <v>0.87</v>
      </c>
      <c r="C121" s="10"/>
      <c r="D121" s="10"/>
      <c r="E121" s="10"/>
      <c r="F121" s="10"/>
      <c r="G121" s="10"/>
      <c r="H121" s="10"/>
      <c r="I121" s="24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</sheetData>
  <mergeCells count="68">
    <mergeCell ref="A25:B25"/>
    <mergeCell ref="A26:B26"/>
    <mergeCell ref="C26:E26"/>
    <mergeCell ref="A27:B27"/>
    <mergeCell ref="C27:E27"/>
    <mergeCell ref="A28:B28"/>
    <mergeCell ref="C28:E28"/>
    <mergeCell ref="A29:B29"/>
    <mergeCell ref="C29:E29"/>
    <mergeCell ref="A30:B30"/>
    <mergeCell ref="C30:E30"/>
    <mergeCell ref="A34:H35"/>
    <mergeCell ref="A37:H37"/>
    <mergeCell ref="A38:H38"/>
    <mergeCell ref="A98:H98"/>
    <mergeCell ref="A101:H101"/>
    <mergeCell ref="A108:H108"/>
    <mergeCell ref="A115:H115"/>
    <mergeCell ref="F79:G79"/>
    <mergeCell ref="F80:G80"/>
    <mergeCell ref="A85:H85"/>
    <mergeCell ref="E86:F86"/>
    <mergeCell ref="A95:H95"/>
    <mergeCell ref="A96:H96"/>
    <mergeCell ref="A97:H97"/>
    <mergeCell ref="G89:H89"/>
    <mergeCell ref="A1:H2"/>
    <mergeCell ref="A4:H4"/>
    <mergeCell ref="A6:B6"/>
    <mergeCell ref="C6:H6"/>
    <mergeCell ref="A7:B7"/>
    <mergeCell ref="C7:H7"/>
    <mergeCell ref="C8:H8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14:B14"/>
    <mergeCell ref="C9:H9"/>
    <mergeCell ref="C10:H10"/>
    <mergeCell ref="C11:H11"/>
    <mergeCell ref="C12:H12"/>
    <mergeCell ref="C13:H13"/>
    <mergeCell ref="C14:H14"/>
    <mergeCell ref="C15:H15"/>
    <mergeCell ref="C16:H16"/>
    <mergeCell ref="C17:H17"/>
    <mergeCell ref="C18:H18"/>
    <mergeCell ref="C19:H19"/>
    <mergeCell ref="A21:H22"/>
    <mergeCell ref="A24:H24"/>
    <mergeCell ref="C25:E25"/>
    <mergeCell ref="A31:B31"/>
    <mergeCell ref="A43:B43"/>
    <mergeCell ref="F46:G46"/>
    <mergeCell ref="A53:H53"/>
    <mergeCell ref="A54:H54"/>
    <mergeCell ref="A55:H55"/>
    <mergeCell ref="A65:H65"/>
    <mergeCell ref="A66:H66"/>
    <mergeCell ref="A71:B7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4" max="4" width="13.5"/>
    <col customWidth="1" min="5" max="5" width="15.25"/>
    <col customWidth="1" min="7" max="7" width="13.5"/>
  </cols>
  <sheetData>
    <row r="1">
      <c r="A1" s="1" t="s">
        <v>168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 t="s">
        <v>1</v>
      </c>
    </row>
    <row r="5">
      <c r="A5" s="14"/>
      <c r="B5" s="14"/>
      <c r="C5" s="14"/>
      <c r="D5" s="14"/>
      <c r="E5" s="14"/>
      <c r="F5" s="14"/>
      <c r="G5" s="14"/>
      <c r="H5" s="14"/>
    </row>
    <row r="6">
      <c r="A6" s="20" t="s">
        <v>169</v>
      </c>
      <c r="C6" s="20" t="s">
        <v>170</v>
      </c>
    </row>
    <row r="7">
      <c r="A7" s="20" t="s">
        <v>171</v>
      </c>
      <c r="C7" s="20" t="s">
        <v>172</v>
      </c>
    </row>
    <row r="8">
      <c r="A8" s="20" t="s">
        <v>173</v>
      </c>
      <c r="C8" s="20" t="s">
        <v>174</v>
      </c>
    </row>
    <row r="9">
      <c r="A9" s="20" t="s">
        <v>175</v>
      </c>
      <c r="C9" s="20" t="s">
        <v>176</v>
      </c>
    </row>
    <row r="12">
      <c r="A12" s="6" t="s">
        <v>177</v>
      </c>
    </row>
    <row r="14">
      <c r="A14" s="3"/>
      <c r="B14" s="3"/>
      <c r="C14" s="3"/>
      <c r="D14" s="3"/>
      <c r="E14" s="3"/>
      <c r="F14" s="3"/>
      <c r="G14" s="3"/>
      <c r="H14" s="3"/>
    </row>
    <row r="15">
      <c r="A15" s="7" t="s">
        <v>1</v>
      </c>
    </row>
    <row r="16">
      <c r="A16" s="8" t="s">
        <v>178</v>
      </c>
      <c r="C16" s="9" t="s">
        <v>179</v>
      </c>
    </row>
    <row r="17">
      <c r="A17" s="8" t="s">
        <v>180</v>
      </c>
      <c r="C17" s="9" t="s">
        <v>181</v>
      </c>
    </row>
    <row r="18">
      <c r="A18" s="8" t="s">
        <v>182</v>
      </c>
      <c r="C18" s="9" t="s">
        <v>183</v>
      </c>
    </row>
    <row r="19">
      <c r="A19" s="8" t="s">
        <v>184</v>
      </c>
      <c r="C19" s="9" t="s">
        <v>185</v>
      </c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3">
      <c r="A23" s="12" t="s">
        <v>29</v>
      </c>
    </row>
    <row r="25">
      <c r="A25" s="3"/>
      <c r="B25" s="3"/>
      <c r="C25" s="3"/>
      <c r="D25" s="3"/>
      <c r="E25" s="3"/>
      <c r="F25" s="3"/>
      <c r="G25" s="3"/>
      <c r="H25" s="3"/>
    </row>
    <row r="26">
      <c r="A26" s="4" t="s">
        <v>30</v>
      </c>
      <c r="I26" s="22" t="s">
        <v>186</v>
      </c>
    </row>
    <row r="27">
      <c r="A27" s="20" t="s">
        <v>187</v>
      </c>
    </row>
    <row r="28">
      <c r="A28" s="20" t="s">
        <v>188</v>
      </c>
    </row>
    <row r="29">
      <c r="A29" s="20" t="s">
        <v>189</v>
      </c>
    </row>
    <row r="30">
      <c r="A30" s="23"/>
      <c r="B30" s="23"/>
      <c r="C30" s="23"/>
      <c r="D30" s="23"/>
      <c r="E30" s="23"/>
      <c r="F30" s="23"/>
      <c r="G30" s="23"/>
      <c r="H30" s="23"/>
    </row>
    <row r="31">
      <c r="A31" s="5" t="s">
        <v>35</v>
      </c>
      <c r="D31" s="23"/>
      <c r="E31" s="23"/>
      <c r="F31" s="23"/>
      <c r="G31" s="23"/>
      <c r="H31" s="23"/>
    </row>
    <row r="32">
      <c r="A32" s="20" t="s">
        <v>190</v>
      </c>
      <c r="B32" s="20" t="s">
        <v>191</v>
      </c>
      <c r="C32" s="20" t="s">
        <v>192</v>
      </c>
      <c r="D32" s="20"/>
      <c r="E32" s="23"/>
      <c r="F32" s="38" t="s">
        <v>191</v>
      </c>
      <c r="G32" s="38" t="s">
        <v>192</v>
      </c>
      <c r="H32" s="23"/>
    </row>
    <row r="33">
      <c r="A33" s="20">
        <v>1.0</v>
      </c>
      <c r="B33" s="20">
        <v>3.0</v>
      </c>
      <c r="C33" s="20">
        <v>13.0</v>
      </c>
      <c r="D33" s="20"/>
      <c r="E33" s="38" t="s">
        <v>52</v>
      </c>
      <c r="F33" s="23">
        <f t="shared" ref="F33:G33" si="1">SUMPRODUCT($A$33:$A$37,B33:B37)/SUM(B33:B37)</f>
        <v>3.775</v>
      </c>
      <c r="G33" s="23">
        <f t="shared" si="1"/>
        <v>3.24</v>
      </c>
      <c r="H33" s="23"/>
    </row>
    <row r="34">
      <c r="A34" s="20">
        <v>2.0</v>
      </c>
      <c r="B34" s="20">
        <v>12.0</v>
      </c>
      <c r="C34" s="20">
        <v>12.0</v>
      </c>
      <c r="D34" s="20"/>
      <c r="E34" s="38" t="s">
        <v>64</v>
      </c>
      <c r="F34" s="39">
        <f t="shared" ref="F34:G34" si="2">SQRT(SUMPRODUCT(B33:B37, ($A$33:$A$37 - F33)^2)/SUM(B33:B37))</f>
        <v>1.117754445</v>
      </c>
      <c r="G34" s="39">
        <f t="shared" si="2"/>
        <v>1.44074055</v>
      </c>
      <c r="H34" s="39"/>
    </row>
    <row r="35">
      <c r="A35" s="20">
        <v>3.0</v>
      </c>
      <c r="B35" s="20">
        <v>7.0</v>
      </c>
      <c r="C35" s="20">
        <v>14.0</v>
      </c>
      <c r="D35" s="20"/>
      <c r="E35" s="23"/>
      <c r="F35" s="23"/>
      <c r="G35" s="23"/>
      <c r="H35" s="23"/>
    </row>
    <row r="36">
      <c r="A36" s="20">
        <v>4.0</v>
      </c>
      <c r="B36" s="20">
        <v>36.0</v>
      </c>
      <c r="C36" s="20">
        <v>16.0</v>
      </c>
      <c r="D36" s="20"/>
      <c r="E36" s="23"/>
      <c r="F36" s="23"/>
      <c r="G36" s="23"/>
      <c r="H36" s="23"/>
    </row>
    <row r="37">
      <c r="A37" s="20">
        <v>5.0</v>
      </c>
      <c r="B37" s="20">
        <v>22.0</v>
      </c>
      <c r="C37" s="20">
        <v>20.0</v>
      </c>
      <c r="D37" s="23"/>
      <c r="E37" s="23"/>
      <c r="F37" s="23"/>
      <c r="G37" s="23"/>
      <c r="H37" s="23"/>
    </row>
    <row r="40">
      <c r="A40" s="4" t="s">
        <v>34</v>
      </c>
      <c r="I40" s="22" t="s">
        <v>193</v>
      </c>
    </row>
    <row r="41">
      <c r="A41" s="20" t="s">
        <v>194</v>
      </c>
    </row>
    <row r="42">
      <c r="A42" s="20" t="s">
        <v>195</v>
      </c>
    </row>
    <row r="43">
      <c r="A43" s="20" t="s">
        <v>196</v>
      </c>
    </row>
    <row r="44">
      <c r="A44" s="20" t="s">
        <v>197</v>
      </c>
    </row>
    <row r="45">
      <c r="A45" s="23"/>
      <c r="B45" s="23"/>
      <c r="C45" s="23"/>
      <c r="D45" s="23"/>
      <c r="E45" s="23"/>
      <c r="F45" s="23"/>
      <c r="G45" s="23"/>
      <c r="H45" s="23"/>
    </row>
    <row r="46">
      <c r="A46" s="5" t="s">
        <v>35</v>
      </c>
      <c r="D46" s="23"/>
      <c r="E46" s="23"/>
      <c r="F46" s="23"/>
      <c r="G46" s="23"/>
      <c r="H46" s="23"/>
    </row>
    <row r="47">
      <c r="A47" s="20" t="s">
        <v>198</v>
      </c>
      <c r="B47" s="20" t="s">
        <v>199</v>
      </c>
      <c r="C47" s="20" t="s">
        <v>151</v>
      </c>
      <c r="D47" s="23"/>
      <c r="E47" s="23"/>
      <c r="F47" s="38" t="s">
        <v>193</v>
      </c>
      <c r="G47" s="23"/>
      <c r="H47" s="23"/>
    </row>
    <row r="48">
      <c r="A48" s="20" t="s">
        <v>200</v>
      </c>
      <c r="B48" s="20">
        <v>6000.0</v>
      </c>
      <c r="C48" s="20">
        <v>0.3</v>
      </c>
      <c r="D48" s="23"/>
      <c r="E48" s="23"/>
      <c r="F48" s="23">
        <f>SUMPRODUCT(B48:B50, C48:C50)</f>
        <v>17700</v>
      </c>
      <c r="G48" s="23"/>
      <c r="H48" s="23"/>
    </row>
    <row r="49">
      <c r="A49" s="20" t="s">
        <v>201</v>
      </c>
      <c r="B49" s="20">
        <v>19000.0</v>
      </c>
      <c r="C49" s="20">
        <v>0.5</v>
      </c>
      <c r="D49" s="23"/>
      <c r="E49" s="23"/>
      <c r="F49" s="23"/>
      <c r="G49" s="23"/>
      <c r="H49" s="23"/>
    </row>
    <row r="50">
      <c r="A50" s="20" t="s">
        <v>202</v>
      </c>
      <c r="B50" s="20">
        <v>32000.0</v>
      </c>
      <c r="C50" s="20">
        <v>0.2</v>
      </c>
      <c r="D50" s="23"/>
      <c r="E50" s="23"/>
      <c r="F50" s="23"/>
      <c r="G50" s="23"/>
      <c r="H50" s="23"/>
    </row>
    <row r="53">
      <c r="A53" s="4" t="s">
        <v>112</v>
      </c>
      <c r="I53" s="22" t="s">
        <v>203</v>
      </c>
    </row>
    <row r="54">
      <c r="A54" s="20" t="s">
        <v>204</v>
      </c>
    </row>
    <row r="55">
      <c r="A55" s="20" t="s">
        <v>36</v>
      </c>
      <c r="B55" s="20">
        <v>80.0</v>
      </c>
      <c r="C55" s="23"/>
      <c r="D55" s="23"/>
      <c r="E55" s="38" t="s">
        <v>52</v>
      </c>
      <c r="F55" s="23">
        <f>B55*B56</f>
        <v>40</v>
      </c>
      <c r="G55" s="23"/>
      <c r="H55" s="23"/>
    </row>
    <row r="56">
      <c r="A56" s="20" t="s">
        <v>205</v>
      </c>
      <c r="B56" s="20">
        <v>0.5</v>
      </c>
      <c r="C56" s="23"/>
      <c r="D56" s="23"/>
      <c r="E56" s="38" t="s">
        <v>101</v>
      </c>
      <c r="F56" s="23">
        <f>B55*B56*(1-B56)</f>
        <v>20</v>
      </c>
      <c r="G56" s="23"/>
      <c r="H56" s="23"/>
    </row>
    <row r="57">
      <c r="A57" s="23"/>
      <c r="B57" s="23"/>
      <c r="C57" s="23"/>
      <c r="D57" s="23"/>
      <c r="E57" s="38" t="s">
        <v>64</v>
      </c>
      <c r="F57" s="40">
        <f>SQRT(F56)</f>
        <v>4.472135955</v>
      </c>
      <c r="G57" s="23"/>
      <c r="H57" s="23"/>
    </row>
    <row r="60">
      <c r="A60" s="4" t="s">
        <v>129</v>
      </c>
      <c r="I60" s="22" t="s">
        <v>203</v>
      </c>
    </row>
    <row r="61">
      <c r="A61" s="20" t="s">
        <v>206</v>
      </c>
    </row>
    <row r="62">
      <c r="A62" s="20" t="s">
        <v>36</v>
      </c>
      <c r="B62" s="20">
        <v>9.0</v>
      </c>
      <c r="C62" s="23"/>
      <c r="D62" s="23"/>
      <c r="E62" s="4" t="s">
        <v>207</v>
      </c>
      <c r="F62" s="38" t="s">
        <v>208</v>
      </c>
      <c r="G62" s="23"/>
      <c r="H62" s="23"/>
    </row>
    <row r="63">
      <c r="A63" s="20" t="s">
        <v>205</v>
      </c>
      <c r="B63" s="20">
        <v>0.3</v>
      </c>
      <c r="C63" s="23"/>
      <c r="D63" s="41"/>
      <c r="E63" s="4">
        <v>3.0</v>
      </c>
      <c r="F63" s="42">
        <f>_xlfn.BINOM.DIST(E63, $B$62,$B$63,FALSE)</f>
        <v>0.266827932</v>
      </c>
      <c r="G63" s="23"/>
      <c r="H63" s="23"/>
    </row>
    <row r="64">
      <c r="A64" s="23"/>
      <c r="B64" s="23"/>
      <c r="C64" s="23"/>
      <c r="D64" s="38" t="s">
        <v>209</v>
      </c>
      <c r="E64" s="4">
        <v>2.0</v>
      </c>
      <c r="F64" s="42">
        <f>_xlfn.BINOM.DIST(E64, $B$62,$B$63,TRUE)</f>
        <v>0.462831166</v>
      </c>
      <c r="G64" s="23"/>
      <c r="H64" s="23"/>
    </row>
    <row r="65">
      <c r="A65" s="23"/>
      <c r="B65" s="23"/>
      <c r="C65" s="23"/>
      <c r="D65" s="38" t="s">
        <v>210</v>
      </c>
      <c r="E65" s="4">
        <v>6.0</v>
      </c>
      <c r="F65" s="42">
        <f>1 - _xlfn.BINOM.DIST(E65, $B$62,$B$63,TRUE)</f>
        <v>0.004290894</v>
      </c>
      <c r="G65" s="23"/>
      <c r="H65" s="23"/>
    </row>
    <row r="66">
      <c r="A66" s="23"/>
      <c r="B66" s="23"/>
      <c r="C66" s="23"/>
      <c r="D66" s="23"/>
      <c r="E66" s="23"/>
      <c r="F66" s="23"/>
      <c r="G66" s="23"/>
      <c r="H66" s="23"/>
    </row>
    <row r="69">
      <c r="A69" s="4" t="s">
        <v>142</v>
      </c>
    </row>
    <row r="70">
      <c r="A70" s="20" t="s">
        <v>211</v>
      </c>
      <c r="I70" s="22" t="s">
        <v>212</v>
      </c>
    </row>
    <row r="71">
      <c r="A71" s="20" t="s">
        <v>213</v>
      </c>
      <c r="B71" s="20">
        <v>16.8</v>
      </c>
      <c r="C71" s="23"/>
      <c r="D71" s="23"/>
      <c r="E71" s="38" t="s">
        <v>52</v>
      </c>
      <c r="F71" s="23">
        <f>B71</f>
        <v>16.8</v>
      </c>
      <c r="G71" s="23"/>
      <c r="H71" s="23"/>
    </row>
    <row r="72">
      <c r="A72" s="23"/>
      <c r="B72" s="23"/>
      <c r="C72" s="23"/>
      <c r="D72" s="23"/>
      <c r="E72" s="38" t="s">
        <v>101</v>
      </c>
      <c r="F72" s="23">
        <f>B71</f>
        <v>16.8</v>
      </c>
      <c r="G72" s="23"/>
      <c r="H72" s="23"/>
    </row>
    <row r="73">
      <c r="A73" s="23"/>
      <c r="B73" s="23"/>
      <c r="C73" s="23"/>
      <c r="D73" s="23"/>
      <c r="E73" s="38" t="s">
        <v>64</v>
      </c>
      <c r="F73" s="40">
        <f>SQRT(B71)</f>
        <v>4.098780306</v>
      </c>
      <c r="G73" s="23"/>
      <c r="H73" s="23"/>
    </row>
    <row r="76">
      <c r="A76" s="4" t="s">
        <v>146</v>
      </c>
      <c r="I76" s="22" t="s">
        <v>212</v>
      </c>
    </row>
    <row r="77">
      <c r="A77" s="20" t="s">
        <v>214</v>
      </c>
    </row>
    <row r="78">
      <c r="A78" s="20" t="s">
        <v>213</v>
      </c>
      <c r="B78" s="20">
        <v>4.5</v>
      </c>
      <c r="C78" s="23"/>
      <c r="D78" s="23"/>
      <c r="E78" s="4" t="s">
        <v>207</v>
      </c>
      <c r="F78" s="38" t="s">
        <v>208</v>
      </c>
      <c r="G78" s="23"/>
      <c r="H78" s="23"/>
    </row>
    <row r="79">
      <c r="A79" s="23"/>
      <c r="B79" s="23"/>
      <c r="C79" s="23"/>
      <c r="D79" s="23"/>
      <c r="E79" s="38">
        <v>5.0</v>
      </c>
      <c r="F79" s="42">
        <f>_xlfn.POISSON.DIST(E79,$B$78,false)</f>
        <v>0.1708268585</v>
      </c>
      <c r="G79" s="23"/>
      <c r="H79" s="23"/>
    </row>
    <row r="80">
      <c r="A80" s="23"/>
      <c r="B80" s="23"/>
      <c r="C80" s="23"/>
      <c r="D80" s="38" t="s">
        <v>215</v>
      </c>
      <c r="E80" s="38">
        <v>6.0</v>
      </c>
      <c r="F80" s="42">
        <f>1-_xlfn.POISSON.DIST(E80,$B$78,true)</f>
        <v>0.1689494213</v>
      </c>
      <c r="G80" s="23"/>
      <c r="H80" s="23"/>
    </row>
    <row r="81">
      <c r="A81" s="23"/>
      <c r="B81" s="23"/>
      <c r="C81" s="23"/>
      <c r="D81" s="38" t="s">
        <v>216</v>
      </c>
      <c r="E81" s="38">
        <v>3.0</v>
      </c>
      <c r="F81" s="42">
        <f>_xlfn.POISSON.DIST(E81,$B$78,true)</f>
        <v>0.3422959558</v>
      </c>
      <c r="G81" s="23"/>
      <c r="H81" s="23"/>
    </row>
    <row r="84">
      <c r="A84" s="7" t="s">
        <v>158</v>
      </c>
      <c r="I84" s="22" t="s">
        <v>178</v>
      </c>
    </row>
    <row r="85">
      <c r="A85" s="9" t="s">
        <v>217</v>
      </c>
    </row>
    <row r="86">
      <c r="A86" s="17"/>
      <c r="B86" s="9" t="s">
        <v>218</v>
      </c>
      <c r="C86" s="9" t="s">
        <v>219</v>
      </c>
      <c r="D86" s="18" t="s">
        <v>220</v>
      </c>
      <c r="E86" s="17"/>
      <c r="F86" s="17"/>
      <c r="G86" s="17"/>
      <c r="H86" s="17"/>
    </row>
    <row r="87">
      <c r="A87" s="9" t="s">
        <v>221</v>
      </c>
      <c r="B87" s="9">
        <v>1.53</v>
      </c>
      <c r="C87" s="9" t="s">
        <v>222</v>
      </c>
      <c r="D87" s="43">
        <f t="shared" ref="D87:D88" si="3">_xlfn.NORM.S.DIST(B87)</f>
        <v>0.9369916355</v>
      </c>
      <c r="E87" s="17"/>
      <c r="F87" s="17"/>
      <c r="G87" s="17"/>
      <c r="H87" s="17"/>
    </row>
    <row r="88">
      <c r="A88" s="9" t="s">
        <v>223</v>
      </c>
      <c r="B88" s="9">
        <v>-1.26</v>
      </c>
      <c r="C88" s="9" t="s">
        <v>222</v>
      </c>
      <c r="D88" s="43">
        <f t="shared" si="3"/>
        <v>0.1038346811</v>
      </c>
      <c r="E88" s="17"/>
      <c r="F88" s="17"/>
      <c r="G88" s="17"/>
      <c r="H88" s="17"/>
    </row>
    <row r="89">
      <c r="A89" s="9" t="s">
        <v>224</v>
      </c>
      <c r="B89" s="9">
        <v>-0.87</v>
      </c>
      <c r="C89" s="9">
        <v>1.79</v>
      </c>
      <c r="D89" s="43">
        <f t="shared" ref="D89:D90" si="4">_xlfn.NORM.S.DIST(C89)-_xlfn.NORM.S.DIST(B89)</f>
        <v>0.7711228422</v>
      </c>
      <c r="E89" s="17"/>
      <c r="F89" s="17"/>
      <c r="G89" s="17"/>
      <c r="H89" s="17"/>
    </row>
    <row r="90">
      <c r="A90" s="9" t="s">
        <v>225</v>
      </c>
      <c r="B90" s="9">
        <v>0.39</v>
      </c>
      <c r="C90" s="9">
        <v>2.19</v>
      </c>
      <c r="D90" s="43">
        <f t="shared" si="4"/>
        <v>0.3340061551</v>
      </c>
      <c r="E90" s="17"/>
      <c r="F90" s="17"/>
      <c r="G90" s="17"/>
      <c r="H90" s="17"/>
    </row>
    <row r="91">
      <c r="A91" s="17"/>
      <c r="B91" s="17"/>
      <c r="C91" s="17"/>
      <c r="D91" s="17"/>
      <c r="E91" s="17"/>
      <c r="F91" s="17"/>
      <c r="G91" s="17"/>
      <c r="H91" s="17"/>
    </row>
    <row r="94">
      <c r="A94" s="7" t="s">
        <v>163</v>
      </c>
      <c r="I94" s="22" t="s">
        <v>178</v>
      </c>
    </row>
    <row r="95">
      <c r="A95" s="9" t="s">
        <v>226</v>
      </c>
    </row>
    <row r="96">
      <c r="A96" s="9" t="s">
        <v>227</v>
      </c>
    </row>
    <row r="97">
      <c r="A97" s="17"/>
      <c r="B97" s="17"/>
      <c r="C97" s="17"/>
      <c r="D97" s="17"/>
      <c r="E97" s="17"/>
      <c r="F97" s="17"/>
      <c r="G97" s="17"/>
      <c r="H97" s="17"/>
    </row>
    <row r="98">
      <c r="A98" s="8" t="s">
        <v>35</v>
      </c>
      <c r="C98" s="17"/>
      <c r="D98" s="18" t="s">
        <v>228</v>
      </c>
      <c r="E98" s="18" t="s">
        <v>110</v>
      </c>
      <c r="F98" s="18" t="s">
        <v>108</v>
      </c>
      <c r="G98" s="18" t="s">
        <v>220</v>
      </c>
      <c r="H98" s="17"/>
    </row>
    <row r="99">
      <c r="A99" s="9" t="s">
        <v>52</v>
      </c>
      <c r="B99" s="9">
        <v>100.0</v>
      </c>
      <c r="C99" s="17"/>
      <c r="D99" s="9" t="s">
        <v>229</v>
      </c>
      <c r="E99" s="9">
        <v>90.0</v>
      </c>
      <c r="F99" s="17">
        <f t="shared" ref="F99:F102" si="5">(E99-$B$99)/$B$100</f>
        <v>-1</v>
      </c>
      <c r="G99" s="43">
        <f t="shared" ref="G99:G100" si="6">_xlfn.NORM.S.DIST(F99)</f>
        <v>0.1586552539</v>
      </c>
      <c r="H99" s="17"/>
    </row>
    <row r="100">
      <c r="A100" s="9" t="s">
        <v>230</v>
      </c>
      <c r="B100" s="9">
        <v>10.0</v>
      </c>
      <c r="C100" s="17"/>
      <c r="D100" s="9" t="s">
        <v>231</v>
      </c>
      <c r="E100" s="9">
        <v>95.0</v>
      </c>
      <c r="F100" s="17">
        <f t="shared" si="5"/>
        <v>-0.5</v>
      </c>
      <c r="G100" s="43">
        <f t="shared" si="6"/>
        <v>0.3085375387</v>
      </c>
      <c r="H100" s="17"/>
    </row>
    <row r="101">
      <c r="A101" s="17"/>
      <c r="B101" s="17"/>
      <c r="C101" s="17"/>
      <c r="D101" s="9" t="s">
        <v>232</v>
      </c>
      <c r="E101" s="9">
        <v>130.0</v>
      </c>
      <c r="F101" s="17">
        <f t="shared" si="5"/>
        <v>3</v>
      </c>
      <c r="G101" s="43">
        <f t="shared" ref="G101:G102" si="7">1-_xlfn.NORM.S.DIST(F101)</f>
        <v>0.001349898032</v>
      </c>
      <c r="H101" s="17"/>
    </row>
    <row r="102">
      <c r="A102" s="17"/>
      <c r="B102" s="17"/>
      <c r="C102" s="17"/>
      <c r="D102" s="9" t="s">
        <v>233</v>
      </c>
      <c r="E102" s="9">
        <v>75.0</v>
      </c>
      <c r="F102" s="17">
        <f t="shared" si="5"/>
        <v>-2.5</v>
      </c>
      <c r="G102" s="43">
        <f t="shared" si="7"/>
        <v>0.9937903347</v>
      </c>
      <c r="H102" s="17"/>
    </row>
    <row r="105">
      <c r="A105" s="7" t="s">
        <v>234</v>
      </c>
      <c r="I105" s="22" t="s">
        <v>182</v>
      </c>
    </row>
    <row r="106">
      <c r="A106" s="9" t="s">
        <v>235</v>
      </c>
      <c r="B106" s="17"/>
      <c r="C106" s="17"/>
      <c r="D106" s="17"/>
      <c r="E106" s="17"/>
      <c r="F106" s="17"/>
      <c r="G106" s="17"/>
      <c r="H106" s="17"/>
    </row>
    <row r="107">
      <c r="A107" s="17"/>
      <c r="B107" s="17"/>
      <c r="C107" s="17"/>
      <c r="D107" s="17"/>
      <c r="E107" s="17"/>
      <c r="F107" s="17"/>
      <c r="G107" s="17"/>
      <c r="H107" s="17"/>
    </row>
    <row r="108">
      <c r="A108" s="9" t="s">
        <v>35</v>
      </c>
      <c r="C108" s="17"/>
      <c r="D108" s="17"/>
      <c r="E108" s="7" t="s">
        <v>110</v>
      </c>
      <c r="F108" s="7" t="s">
        <v>236</v>
      </c>
      <c r="G108" s="17"/>
      <c r="H108" s="17"/>
    </row>
    <row r="109">
      <c r="A109" s="9" t="s">
        <v>237</v>
      </c>
      <c r="B109" s="9">
        <v>15.0</v>
      </c>
      <c r="C109" s="17"/>
      <c r="D109" s="17"/>
      <c r="E109" s="9">
        <v>2.0</v>
      </c>
      <c r="F109" s="43">
        <f t="shared" ref="F109:F112" si="8">_xlfn.EXPON.DIST(E109, $B$110,TRUE)</f>
        <v>0.3934693403</v>
      </c>
      <c r="G109" s="17"/>
      <c r="H109" s="17"/>
    </row>
    <row r="110">
      <c r="A110" s="9" t="s">
        <v>238</v>
      </c>
      <c r="B110" s="17">
        <f>B109/60</f>
        <v>0.25</v>
      </c>
      <c r="C110" s="17"/>
      <c r="D110" s="9" t="s">
        <v>239</v>
      </c>
      <c r="E110" s="9">
        <f>15/60</f>
        <v>0.25</v>
      </c>
      <c r="F110" s="43">
        <f t="shared" si="8"/>
        <v>0.06058693719</v>
      </c>
      <c r="G110" s="17"/>
      <c r="H110" s="17"/>
    </row>
    <row r="111">
      <c r="A111" s="17"/>
      <c r="B111" s="17"/>
      <c r="C111" s="17"/>
      <c r="D111" s="17"/>
      <c r="E111" s="9">
        <v>13.0</v>
      </c>
      <c r="F111" s="43">
        <f t="shared" si="8"/>
        <v>0.9612257922</v>
      </c>
      <c r="G111" s="17"/>
      <c r="H111" s="17"/>
    </row>
    <row r="112">
      <c r="A112" s="17"/>
      <c r="B112" s="17"/>
      <c r="C112" s="17"/>
      <c r="D112" s="17"/>
      <c r="E112" s="9">
        <v>17.0</v>
      </c>
      <c r="F112" s="43">
        <f t="shared" si="8"/>
        <v>0.9857357661</v>
      </c>
      <c r="G112" s="17"/>
      <c r="H112" s="17"/>
    </row>
    <row r="115">
      <c r="A115" s="7" t="s">
        <v>240</v>
      </c>
      <c r="I115" s="22" t="s">
        <v>184</v>
      </c>
    </row>
    <row r="116">
      <c r="A116" s="9" t="s">
        <v>241</v>
      </c>
    </row>
    <row r="117">
      <c r="A117" s="17"/>
      <c r="B117" s="17"/>
      <c r="C117" s="17"/>
      <c r="D117" s="17"/>
      <c r="E117" s="17"/>
      <c r="F117" s="17"/>
      <c r="G117" s="17"/>
      <c r="H117" s="17"/>
    </row>
    <row r="118">
      <c r="A118" s="8" t="s">
        <v>35</v>
      </c>
      <c r="C118" s="17"/>
      <c r="D118" s="9" t="s">
        <v>242</v>
      </c>
      <c r="E118" s="9" t="s">
        <v>243</v>
      </c>
      <c r="F118" s="9" t="s">
        <v>244</v>
      </c>
      <c r="G118" s="18" t="s">
        <v>245</v>
      </c>
      <c r="H118" s="18" t="s">
        <v>246</v>
      </c>
    </row>
    <row r="119">
      <c r="A119" s="9" t="s">
        <v>247</v>
      </c>
      <c r="B119" s="9">
        <v>140.0</v>
      </c>
      <c r="C119" s="17"/>
      <c r="D119" s="9" t="s">
        <v>248</v>
      </c>
      <c r="E119" s="9">
        <v>200.0</v>
      </c>
      <c r="F119" s="9">
        <v>260.0</v>
      </c>
      <c r="G119" s="43">
        <f t="shared" ref="G119:G121" si="9">(F119-E119)/($B$120-$B$119)</f>
        <v>0.3529411765</v>
      </c>
      <c r="H119" s="17">
        <f>B119+((B120-B119)/2)</f>
        <v>225</v>
      </c>
    </row>
    <row r="120">
      <c r="A120" s="9" t="s">
        <v>249</v>
      </c>
      <c r="B120" s="9">
        <v>310.0</v>
      </c>
      <c r="C120" s="17"/>
      <c r="D120" s="9" t="s">
        <v>250</v>
      </c>
      <c r="E120" s="9">
        <v>140.0</v>
      </c>
      <c r="F120" s="9">
        <v>210.0</v>
      </c>
      <c r="G120" s="43">
        <f t="shared" si="9"/>
        <v>0.4117647059</v>
      </c>
      <c r="H120" s="18" t="s">
        <v>251</v>
      </c>
    </row>
    <row r="121">
      <c r="A121" s="17"/>
      <c r="B121" s="17"/>
      <c r="C121" s="17"/>
      <c r="D121" s="9" t="s">
        <v>252</v>
      </c>
      <c r="E121" s="9">
        <v>180.0</v>
      </c>
      <c r="F121" s="17">
        <f>B120</f>
        <v>310</v>
      </c>
      <c r="G121" s="43">
        <f t="shared" si="9"/>
        <v>0.7647058824</v>
      </c>
      <c r="H121" s="44">
        <f>(B120-B119)/SQRT(12)</f>
        <v>49.07477288</v>
      </c>
    </row>
  </sheetData>
  <mergeCells count="51">
    <mergeCell ref="A8:B8"/>
    <mergeCell ref="A9:B9"/>
    <mergeCell ref="A1:H2"/>
    <mergeCell ref="A4:H4"/>
    <mergeCell ref="A6:B6"/>
    <mergeCell ref="C6:H6"/>
    <mergeCell ref="A7:B7"/>
    <mergeCell ref="C7:H7"/>
    <mergeCell ref="C8:H8"/>
    <mergeCell ref="C9:H9"/>
    <mergeCell ref="A12:H13"/>
    <mergeCell ref="A15:H15"/>
    <mergeCell ref="A16:B16"/>
    <mergeCell ref="C16:H16"/>
    <mergeCell ref="A17:B17"/>
    <mergeCell ref="C17:H17"/>
    <mergeCell ref="A18:B18"/>
    <mergeCell ref="C18:H18"/>
    <mergeCell ref="A19:B19"/>
    <mergeCell ref="C19:H19"/>
    <mergeCell ref="A23:H24"/>
    <mergeCell ref="A26:H26"/>
    <mergeCell ref="A27:H27"/>
    <mergeCell ref="A28:H28"/>
    <mergeCell ref="A29:H29"/>
    <mergeCell ref="A31:C31"/>
    <mergeCell ref="A40:H40"/>
    <mergeCell ref="A41:H41"/>
    <mergeCell ref="A42:H42"/>
    <mergeCell ref="A43:H43"/>
    <mergeCell ref="A44:H44"/>
    <mergeCell ref="A46:C46"/>
    <mergeCell ref="A53:H53"/>
    <mergeCell ref="A54:H54"/>
    <mergeCell ref="A60:H60"/>
    <mergeCell ref="A61:H61"/>
    <mergeCell ref="A69:H69"/>
    <mergeCell ref="A96:H96"/>
    <mergeCell ref="A98:B98"/>
    <mergeCell ref="A105:H105"/>
    <mergeCell ref="A108:B108"/>
    <mergeCell ref="A115:H115"/>
    <mergeCell ref="A116:H116"/>
    <mergeCell ref="A118:B118"/>
    <mergeCell ref="A70:H70"/>
    <mergeCell ref="A76:H76"/>
    <mergeCell ref="A77:H77"/>
    <mergeCell ref="A84:H84"/>
    <mergeCell ref="A85:H85"/>
    <mergeCell ref="A94:H94"/>
    <mergeCell ref="A95:H9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4" max="4" width="13.25"/>
    <col customWidth="1" min="5" max="5" width="13.38"/>
    <col customWidth="1" min="6" max="6" width="15.63"/>
    <col customWidth="1" min="7" max="7" width="14.5"/>
    <col customWidth="1" min="8" max="9" width="14.38"/>
  </cols>
  <sheetData>
    <row r="1">
      <c r="A1" s="1" t="s">
        <v>253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 t="s">
        <v>1</v>
      </c>
    </row>
    <row r="5">
      <c r="A5" s="5" t="s">
        <v>254</v>
      </c>
      <c r="C5" s="45" t="s">
        <v>255</v>
      </c>
    </row>
    <row r="6">
      <c r="A6" s="20" t="s">
        <v>256</v>
      </c>
      <c r="C6" s="20" t="s">
        <v>257</v>
      </c>
    </row>
    <row r="7">
      <c r="A7" s="20" t="s">
        <v>258</v>
      </c>
      <c r="C7" s="20" t="s">
        <v>259</v>
      </c>
    </row>
    <row r="8">
      <c r="A8" s="20" t="s">
        <v>260</v>
      </c>
      <c r="C8" s="20" t="s">
        <v>261</v>
      </c>
    </row>
    <row r="9">
      <c r="A9" s="22"/>
      <c r="B9" s="22"/>
      <c r="C9" s="22"/>
      <c r="D9" s="22"/>
      <c r="E9" s="22"/>
      <c r="F9" s="22"/>
      <c r="G9" s="22"/>
      <c r="H9" s="22"/>
    </row>
    <row r="11">
      <c r="A11" s="6" t="s">
        <v>262</v>
      </c>
    </row>
    <row r="13">
      <c r="A13" s="3"/>
      <c r="B13" s="3"/>
      <c r="C13" s="3"/>
      <c r="D13" s="3"/>
      <c r="E13" s="3"/>
      <c r="F13" s="3"/>
      <c r="G13" s="3"/>
      <c r="H13" s="3"/>
    </row>
    <row r="14">
      <c r="A14" s="7" t="s">
        <v>1</v>
      </c>
    </row>
    <row r="15">
      <c r="A15" s="8" t="s">
        <v>263</v>
      </c>
      <c r="C15" s="9" t="s">
        <v>264</v>
      </c>
    </row>
    <row r="16">
      <c r="A16" s="8" t="s">
        <v>265</v>
      </c>
      <c r="C16" s="9" t="s">
        <v>266</v>
      </c>
    </row>
    <row r="17">
      <c r="A17" s="8" t="s">
        <v>267</v>
      </c>
      <c r="C17" s="9" t="s">
        <v>268</v>
      </c>
    </row>
    <row r="18">
      <c r="A18" s="8" t="s">
        <v>269</v>
      </c>
      <c r="C18" s="9" t="s">
        <v>270</v>
      </c>
    </row>
    <row r="19">
      <c r="A19" s="8" t="s">
        <v>271</v>
      </c>
      <c r="C19" s="9" t="s">
        <v>272</v>
      </c>
    </row>
    <row r="20">
      <c r="A20" s="8" t="s">
        <v>273</v>
      </c>
      <c r="C20" s="9" t="s">
        <v>274</v>
      </c>
    </row>
    <row r="21" ht="17.25" customHeight="1"/>
    <row r="23">
      <c r="A23" s="7" t="s">
        <v>275</v>
      </c>
      <c r="E23" s="21"/>
      <c r="F23" s="21"/>
      <c r="G23" s="21"/>
    </row>
    <row r="24">
      <c r="A24" s="8" t="s">
        <v>276</v>
      </c>
      <c r="B24" s="9" t="s">
        <v>277</v>
      </c>
      <c r="C24" s="8" t="s">
        <v>68</v>
      </c>
      <c r="E24" s="21"/>
      <c r="F24" s="22"/>
      <c r="G24" s="21"/>
    </row>
    <row r="25">
      <c r="A25" s="46">
        <v>0.9</v>
      </c>
      <c r="B25" s="17">
        <f t="shared" ref="B25:B27" si="1">1-((1-A25)/2)</f>
        <v>0.95</v>
      </c>
      <c r="C25" s="47">
        <f t="shared" ref="C25:C27" si="2">_xlfn.NORM.S.INV(B25)</f>
        <v>1.644853625</v>
      </c>
      <c r="E25" s="48"/>
    </row>
    <row r="26">
      <c r="A26" s="46">
        <v>0.95</v>
      </c>
      <c r="B26" s="17">
        <f t="shared" si="1"/>
        <v>0.975</v>
      </c>
      <c r="C26" s="47">
        <f t="shared" si="2"/>
        <v>1.959963986</v>
      </c>
      <c r="E26" s="48"/>
    </row>
    <row r="27">
      <c r="A27" s="46">
        <v>0.99</v>
      </c>
      <c r="B27" s="17">
        <f t="shared" si="1"/>
        <v>0.995</v>
      </c>
      <c r="C27" s="47">
        <f t="shared" si="2"/>
        <v>2.575829306</v>
      </c>
      <c r="E27" s="48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1">
      <c r="A31" s="12" t="s">
        <v>29</v>
      </c>
    </row>
    <row r="33">
      <c r="A33" s="3"/>
      <c r="B33" s="3"/>
      <c r="C33" s="3"/>
      <c r="D33" s="3"/>
      <c r="E33" s="3"/>
      <c r="F33" s="3"/>
      <c r="G33" s="3"/>
      <c r="H33" s="3"/>
    </row>
    <row r="34">
      <c r="A34" s="4" t="s">
        <v>30</v>
      </c>
    </row>
    <row r="35">
      <c r="A35" s="20" t="s">
        <v>278</v>
      </c>
    </row>
    <row r="36">
      <c r="A36" s="4" t="s">
        <v>35</v>
      </c>
      <c r="E36" s="23"/>
      <c r="F36" s="38" t="s">
        <v>279</v>
      </c>
      <c r="G36" s="4" t="s">
        <v>280</v>
      </c>
      <c r="I36" s="23"/>
      <c r="J36" s="23"/>
    </row>
    <row r="37">
      <c r="A37" s="20">
        <v>25.0</v>
      </c>
      <c r="B37" s="20">
        <v>24.0</v>
      </c>
      <c r="C37" s="20">
        <v>45.0</v>
      </c>
      <c r="D37" s="20">
        <v>15.0</v>
      </c>
      <c r="E37" s="23"/>
      <c r="F37" s="23">
        <f>AVERAGE(A37:D41)</f>
        <v>35.25</v>
      </c>
      <c r="G37" s="4">
        <v>5.0</v>
      </c>
      <c r="H37" s="4">
        <v>10.0</v>
      </c>
      <c r="I37" s="23"/>
      <c r="J37" s="23"/>
    </row>
    <row r="38">
      <c r="A38" s="20">
        <v>24.0</v>
      </c>
      <c r="B38" s="20">
        <v>45.0</v>
      </c>
      <c r="C38" s="20">
        <v>51.0</v>
      </c>
      <c r="D38" s="20">
        <v>39.0</v>
      </c>
      <c r="E38" s="23"/>
      <c r="F38" s="23"/>
      <c r="G38" s="23">
        <f>AVERAGE(A37:A41)-F37</f>
        <v>-15.65</v>
      </c>
      <c r="H38" s="23">
        <f>AVERAGE(A37:B41)-F37</f>
        <v>-5.65</v>
      </c>
      <c r="I38" s="23"/>
      <c r="J38" s="23"/>
    </row>
    <row r="39">
      <c r="A39" s="20">
        <v>1.0</v>
      </c>
      <c r="B39" s="20">
        <v>55.0</v>
      </c>
      <c r="C39" s="20">
        <v>46.0</v>
      </c>
      <c r="D39" s="20">
        <v>63.0</v>
      </c>
      <c r="E39" s="23"/>
      <c r="F39" s="23"/>
      <c r="G39" s="23"/>
      <c r="H39" s="23"/>
      <c r="I39" s="23"/>
      <c r="J39" s="23"/>
    </row>
    <row r="40">
      <c r="A40" s="20">
        <v>18.0</v>
      </c>
      <c r="B40" s="20">
        <v>53.0</v>
      </c>
      <c r="C40" s="20">
        <v>11.0</v>
      </c>
      <c r="D40" s="20">
        <v>24.0</v>
      </c>
      <c r="E40" s="23"/>
      <c r="F40" s="23"/>
      <c r="G40" s="23"/>
      <c r="H40" s="23"/>
      <c r="I40" s="23"/>
      <c r="J40" s="23"/>
    </row>
    <row r="41">
      <c r="A41" s="20">
        <v>30.0</v>
      </c>
      <c r="B41" s="20">
        <v>21.0</v>
      </c>
      <c r="C41" s="20">
        <v>44.0</v>
      </c>
      <c r="D41" s="20">
        <v>71.0</v>
      </c>
      <c r="E41" s="23"/>
      <c r="F41" s="23"/>
      <c r="G41" s="23"/>
      <c r="H41" s="23"/>
      <c r="I41" s="23"/>
      <c r="J41" s="23"/>
    </row>
    <row r="44">
      <c r="A44" s="4" t="s">
        <v>34</v>
      </c>
    </row>
    <row r="45">
      <c r="A45" s="20" t="s">
        <v>281</v>
      </c>
    </row>
    <row r="46">
      <c r="A46" s="4" t="s">
        <v>35</v>
      </c>
      <c r="C46" s="23"/>
      <c r="D46" s="23"/>
      <c r="E46" s="38" t="s">
        <v>282</v>
      </c>
      <c r="F46" s="38" t="s">
        <v>283</v>
      </c>
      <c r="G46" s="23"/>
      <c r="H46" s="23"/>
      <c r="I46" s="23"/>
      <c r="J46" s="23"/>
    </row>
    <row r="47">
      <c r="A47" s="20" t="s">
        <v>246</v>
      </c>
      <c r="B47" s="20">
        <v>250.0</v>
      </c>
      <c r="C47" s="23"/>
      <c r="D47" s="23"/>
      <c r="E47" s="20">
        <v>10.0</v>
      </c>
      <c r="F47" s="40">
        <f t="shared" ref="F47:F49" si="3">$B$48/SQRT(E47)</f>
        <v>11.06797181</v>
      </c>
      <c r="G47" s="23"/>
      <c r="H47" s="23"/>
      <c r="I47" s="23"/>
      <c r="J47" s="23"/>
    </row>
    <row r="48">
      <c r="A48" s="20" t="s">
        <v>251</v>
      </c>
      <c r="B48" s="20">
        <v>35.0</v>
      </c>
      <c r="C48" s="23"/>
      <c r="D48" s="23"/>
      <c r="E48" s="20">
        <v>30.0</v>
      </c>
      <c r="F48" s="40">
        <f t="shared" si="3"/>
        <v>6.390096504</v>
      </c>
      <c r="G48" s="23"/>
      <c r="H48" s="23"/>
      <c r="I48" s="23"/>
      <c r="J48" s="23"/>
    </row>
    <row r="49">
      <c r="A49" s="23"/>
      <c r="B49" s="23"/>
      <c r="C49" s="23"/>
      <c r="D49" s="23"/>
      <c r="E49" s="20">
        <v>50.0</v>
      </c>
      <c r="F49" s="40">
        <f t="shared" si="3"/>
        <v>4.949747468</v>
      </c>
      <c r="G49" s="23"/>
      <c r="H49" s="23"/>
      <c r="I49" s="23"/>
      <c r="J49" s="23"/>
    </row>
    <row r="52">
      <c r="A52" s="4" t="s">
        <v>112</v>
      </c>
    </row>
    <row r="53">
      <c r="A53" s="20" t="s">
        <v>284</v>
      </c>
      <c r="G53" s="23"/>
      <c r="H53" s="23"/>
      <c r="I53" s="23"/>
      <c r="J53" s="23"/>
    </row>
    <row r="54">
      <c r="A54" s="20" t="s">
        <v>285</v>
      </c>
      <c r="G54" s="23"/>
      <c r="H54" s="23"/>
      <c r="I54" s="23"/>
      <c r="J54" s="23"/>
    </row>
    <row r="55">
      <c r="A55" s="4" t="s">
        <v>35</v>
      </c>
      <c r="C55" s="23"/>
      <c r="D55" s="23"/>
      <c r="E55" s="23"/>
      <c r="F55" s="23"/>
      <c r="G55" s="23"/>
      <c r="H55" s="23"/>
      <c r="I55" s="23"/>
      <c r="J55" s="23"/>
    </row>
    <row r="56">
      <c r="A56" s="20" t="s">
        <v>246</v>
      </c>
      <c r="B56" s="20">
        <v>86.0</v>
      </c>
      <c r="C56" s="23"/>
      <c r="D56" s="20"/>
      <c r="E56" s="38" t="s">
        <v>283</v>
      </c>
      <c r="F56" s="38" t="s">
        <v>286</v>
      </c>
      <c r="G56" s="38" t="s">
        <v>287</v>
      </c>
      <c r="H56" s="23"/>
      <c r="I56" s="23"/>
      <c r="J56" s="23"/>
    </row>
    <row r="57">
      <c r="A57" s="20" t="s">
        <v>251</v>
      </c>
      <c r="B57" s="20">
        <v>10.0</v>
      </c>
      <c r="C57" s="23"/>
      <c r="D57" s="23"/>
      <c r="E57" s="40">
        <f>$B$57/SQRT(B59)</f>
        <v>2.294157339</v>
      </c>
      <c r="F57" s="40">
        <f>(B58-B56)/E57</f>
        <v>1.743559577</v>
      </c>
      <c r="G57" s="42">
        <f>_xlfn.NORM.S.DIST(F57)</f>
        <v>0.9593820415</v>
      </c>
      <c r="H57" s="23"/>
      <c r="I57" s="23"/>
      <c r="J57" s="23"/>
    </row>
    <row r="58">
      <c r="A58" s="20" t="s">
        <v>288</v>
      </c>
      <c r="B58" s="20">
        <v>90.0</v>
      </c>
      <c r="C58" s="23"/>
      <c r="D58" s="23"/>
      <c r="E58" s="23"/>
      <c r="F58" s="23"/>
      <c r="G58" s="23"/>
      <c r="H58" s="23"/>
      <c r="I58" s="23"/>
      <c r="J58" s="23"/>
    </row>
    <row r="59">
      <c r="A59" s="20" t="s">
        <v>282</v>
      </c>
      <c r="B59" s="20">
        <v>19.0</v>
      </c>
      <c r="C59" s="23"/>
      <c r="D59" s="23"/>
      <c r="E59" s="23"/>
      <c r="F59" s="23"/>
      <c r="G59" s="23"/>
      <c r="H59" s="23"/>
      <c r="I59" s="23"/>
      <c r="J59" s="23"/>
    </row>
    <row r="62">
      <c r="A62" s="4" t="s">
        <v>129</v>
      </c>
    </row>
    <row r="63">
      <c r="A63" s="20" t="s">
        <v>289</v>
      </c>
    </row>
    <row r="64">
      <c r="A64" s="4" t="s">
        <v>35</v>
      </c>
      <c r="C64" s="23"/>
      <c r="D64" s="23"/>
      <c r="E64" s="38" t="s">
        <v>36</v>
      </c>
      <c r="F64" s="38" t="s">
        <v>290</v>
      </c>
      <c r="G64" s="23"/>
      <c r="H64" s="23"/>
      <c r="I64" s="23"/>
      <c r="J64" s="23"/>
    </row>
    <row r="65">
      <c r="A65" s="20" t="s">
        <v>205</v>
      </c>
      <c r="B65" s="23">
        <f>0.26</f>
        <v>0.26</v>
      </c>
      <c r="C65" s="23"/>
      <c r="D65" s="23"/>
      <c r="E65" s="20">
        <v>40.0</v>
      </c>
      <c r="F65" s="42">
        <f t="shared" ref="F65:F67" si="4">SQRT($B$65*$B$66/E65)</f>
        <v>0.06935416354</v>
      </c>
      <c r="G65" s="23"/>
      <c r="H65" s="23"/>
      <c r="I65" s="23"/>
      <c r="J65" s="23"/>
    </row>
    <row r="66">
      <c r="A66" s="20" t="s">
        <v>291</v>
      </c>
      <c r="B66" s="23">
        <f>1-B65</f>
        <v>0.74</v>
      </c>
      <c r="C66" s="23"/>
      <c r="D66" s="23"/>
      <c r="E66" s="20">
        <v>80.0</v>
      </c>
      <c r="F66" s="42">
        <f t="shared" si="4"/>
        <v>0.04904079934</v>
      </c>
      <c r="G66" s="23"/>
      <c r="H66" s="23"/>
      <c r="I66" s="23"/>
      <c r="J66" s="23"/>
    </row>
    <row r="67">
      <c r="A67" s="23"/>
      <c r="B67" s="23"/>
      <c r="C67" s="23"/>
      <c r="D67" s="23"/>
      <c r="E67" s="20">
        <v>120.0</v>
      </c>
      <c r="F67" s="42">
        <f t="shared" si="4"/>
        <v>0.04004164499</v>
      </c>
      <c r="G67" s="23"/>
      <c r="H67" s="23"/>
      <c r="I67" s="23"/>
      <c r="J67" s="23"/>
    </row>
    <row r="70">
      <c r="A70" s="4" t="s">
        <v>142</v>
      </c>
    </row>
    <row r="71">
      <c r="A71" s="20" t="s">
        <v>292</v>
      </c>
    </row>
    <row r="72">
      <c r="A72" s="4" t="s">
        <v>35</v>
      </c>
      <c r="C72" s="4" t="s">
        <v>110</v>
      </c>
      <c r="D72" s="23"/>
      <c r="E72" s="38" t="s">
        <v>293</v>
      </c>
      <c r="F72" s="38" t="s">
        <v>294</v>
      </c>
      <c r="G72" s="38" t="s">
        <v>295</v>
      </c>
      <c r="H72" s="38" t="s">
        <v>296</v>
      </c>
      <c r="I72" s="38" t="s">
        <v>108</v>
      </c>
      <c r="J72" s="38" t="s">
        <v>151</v>
      </c>
    </row>
    <row r="73">
      <c r="A73" s="20" t="s">
        <v>205</v>
      </c>
      <c r="B73" s="20">
        <v>0.37</v>
      </c>
      <c r="C73" s="20">
        <v>50.0</v>
      </c>
      <c r="D73" s="23"/>
      <c r="E73" s="39">
        <f>SQRT($B$73*$B$74/B75)</f>
        <v>0.03942080669</v>
      </c>
      <c r="F73" s="39">
        <f>SQRT((B76-B75)/(B76-1))</f>
        <v>0.7915594836</v>
      </c>
      <c r="G73" s="39">
        <f>E73*F73</f>
        <v>0.03120391338</v>
      </c>
      <c r="H73" s="39">
        <f t="shared" ref="H73:H78" si="5">C73/$B$75</f>
        <v>0.3333333333</v>
      </c>
      <c r="I73" s="40">
        <f t="shared" ref="I73:I78" si="6">(H73-$B$73)/$G$73</f>
        <v>-1.175066288</v>
      </c>
      <c r="J73" s="42">
        <f t="shared" ref="J73:J78" si="7">_xlfn.NORM.S.DIST(I73)</f>
        <v>0.1199840984</v>
      </c>
    </row>
    <row r="74">
      <c r="A74" s="20" t="s">
        <v>291</v>
      </c>
      <c r="B74" s="23">
        <f>1-B73</f>
        <v>0.63</v>
      </c>
      <c r="C74" s="20">
        <v>54.0</v>
      </c>
      <c r="D74" s="23"/>
      <c r="E74" s="23"/>
      <c r="F74" s="23"/>
      <c r="G74" s="23"/>
      <c r="H74" s="39">
        <f t="shared" si="5"/>
        <v>0.36</v>
      </c>
      <c r="I74" s="40">
        <f t="shared" si="6"/>
        <v>-0.320472624</v>
      </c>
      <c r="J74" s="42">
        <f t="shared" si="7"/>
        <v>0.3743050399</v>
      </c>
    </row>
    <row r="75">
      <c r="A75" s="20" t="s">
        <v>36</v>
      </c>
      <c r="B75" s="20">
        <v>150.0</v>
      </c>
      <c r="C75" s="20">
        <v>55.0</v>
      </c>
      <c r="D75" s="23"/>
      <c r="E75" s="23"/>
      <c r="F75" s="23"/>
      <c r="G75" s="23"/>
      <c r="H75" s="39">
        <f t="shared" si="5"/>
        <v>0.3666666667</v>
      </c>
      <c r="I75" s="40">
        <f t="shared" si="6"/>
        <v>-0.106824208</v>
      </c>
      <c r="J75" s="42">
        <f t="shared" si="7"/>
        <v>0.4574642211</v>
      </c>
    </row>
    <row r="76">
      <c r="A76" s="20" t="s">
        <v>297</v>
      </c>
      <c r="B76" s="20">
        <v>400.0</v>
      </c>
      <c r="C76" s="20">
        <v>62.0</v>
      </c>
      <c r="D76" s="23"/>
      <c r="E76" s="23"/>
      <c r="F76" s="23"/>
      <c r="G76" s="23"/>
      <c r="H76" s="39">
        <f t="shared" si="5"/>
        <v>0.4133333333</v>
      </c>
      <c r="I76" s="40">
        <f t="shared" si="6"/>
        <v>1.388714704</v>
      </c>
      <c r="J76" s="42">
        <f t="shared" si="7"/>
        <v>0.9175402394</v>
      </c>
    </row>
    <row r="77">
      <c r="A77" s="20" t="s">
        <v>298</v>
      </c>
      <c r="B77" s="23"/>
      <c r="C77" s="20">
        <v>53.0</v>
      </c>
      <c r="D77" s="23"/>
      <c r="E77" s="23"/>
      <c r="F77" s="23"/>
      <c r="G77" s="23"/>
      <c r="H77" s="39">
        <f t="shared" si="5"/>
        <v>0.3533333333</v>
      </c>
      <c r="I77" s="40">
        <f t="shared" si="6"/>
        <v>-0.5341210399</v>
      </c>
      <c r="J77" s="42">
        <f t="shared" si="7"/>
        <v>0.296628897</v>
      </c>
    </row>
    <row r="78">
      <c r="A78" s="23"/>
      <c r="B78" s="23"/>
      <c r="C78" s="20">
        <v>70.0</v>
      </c>
      <c r="D78" s="23"/>
      <c r="E78" s="23"/>
      <c r="F78" s="23"/>
      <c r="G78" s="23"/>
      <c r="H78" s="39">
        <f t="shared" si="5"/>
        <v>0.4666666667</v>
      </c>
      <c r="I78" s="40">
        <f t="shared" si="6"/>
        <v>3.097902032</v>
      </c>
      <c r="J78" s="42">
        <f t="shared" si="7"/>
        <v>0.9990255208</v>
      </c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</row>
    <row r="82">
      <c r="A82" s="7" t="s">
        <v>146</v>
      </c>
    </row>
    <row r="83">
      <c r="A83" s="9" t="s">
        <v>299</v>
      </c>
    </row>
    <row r="84">
      <c r="A84" s="17"/>
      <c r="B84" s="17"/>
      <c r="C84" s="17"/>
      <c r="D84" s="17"/>
      <c r="E84" s="49" t="s">
        <v>300</v>
      </c>
    </row>
    <row r="85">
      <c r="A85" s="7" t="s">
        <v>35</v>
      </c>
      <c r="C85" s="17"/>
      <c r="D85" s="17"/>
      <c r="E85" s="18" t="s">
        <v>301</v>
      </c>
      <c r="F85" s="7" t="s">
        <v>108</v>
      </c>
      <c r="G85" s="18" t="s">
        <v>302</v>
      </c>
      <c r="H85" s="18" t="s">
        <v>303</v>
      </c>
      <c r="I85" s="18" t="s">
        <v>271</v>
      </c>
      <c r="J85" s="17"/>
    </row>
    <row r="86">
      <c r="A86" s="9" t="s">
        <v>288</v>
      </c>
      <c r="B86" s="9">
        <v>20.0</v>
      </c>
      <c r="C86" s="17"/>
      <c r="D86" s="17"/>
      <c r="E86" s="47">
        <f>B88/SQRT(B89)</f>
        <v>4.5625</v>
      </c>
      <c r="F86" s="44">
        <f>_xlfn.NORM.S.INV(1-((1-B90)/2))</f>
        <v>1.644853625</v>
      </c>
      <c r="G86" s="44">
        <f>$B$86-$F$86*$E$86</f>
        <v>12.49535534</v>
      </c>
      <c r="H86" s="44">
        <f>$B$86+$F$86*$E$86</f>
        <v>27.50464466</v>
      </c>
      <c r="I86" s="44">
        <f>F86*E86</f>
        <v>7.504644665</v>
      </c>
      <c r="J86" s="17"/>
    </row>
    <row r="87">
      <c r="A87" s="9" t="s">
        <v>304</v>
      </c>
      <c r="B87" s="9">
        <v>5.5</v>
      </c>
      <c r="C87" s="17"/>
      <c r="D87" s="17"/>
      <c r="E87" s="17"/>
      <c r="F87" s="17"/>
      <c r="G87" s="17"/>
      <c r="H87" s="17"/>
      <c r="I87" s="17"/>
      <c r="J87" s="17"/>
    </row>
    <row r="88">
      <c r="A88" s="9" t="s">
        <v>305</v>
      </c>
      <c r="B88" s="9">
        <v>73.0</v>
      </c>
      <c r="C88" s="17"/>
      <c r="D88" s="17"/>
      <c r="E88" s="9" t="s">
        <v>306</v>
      </c>
      <c r="F88" s="17"/>
      <c r="G88" s="17"/>
      <c r="H88" s="17"/>
      <c r="I88" s="17"/>
      <c r="J88" s="17"/>
    </row>
    <row r="89">
      <c r="A89" s="9" t="s">
        <v>307</v>
      </c>
      <c r="B89" s="9">
        <v>256.0</v>
      </c>
      <c r="C89" s="17"/>
      <c r="D89" s="17"/>
      <c r="E89" s="18" t="s">
        <v>308</v>
      </c>
      <c r="F89" s="18" t="s">
        <v>309</v>
      </c>
      <c r="G89" s="18" t="s">
        <v>310</v>
      </c>
      <c r="H89" s="18" t="s">
        <v>302</v>
      </c>
      <c r="I89" s="18" t="s">
        <v>303</v>
      </c>
      <c r="J89" s="18" t="s">
        <v>271</v>
      </c>
    </row>
    <row r="90">
      <c r="A90" s="9" t="s">
        <v>276</v>
      </c>
      <c r="B90" s="46">
        <v>0.9</v>
      </c>
      <c r="C90" s="17"/>
      <c r="D90" s="17"/>
      <c r="E90" s="47">
        <f>B87/SQRT(B89)</f>
        <v>0.34375</v>
      </c>
      <c r="F90" s="17">
        <f>B89-1</f>
        <v>255</v>
      </c>
      <c r="G90" s="47">
        <f>-_xlfn.T.INV((1-B90)/2,F90)</f>
        <v>1.650851092</v>
      </c>
      <c r="H90" s="44">
        <f>B86-G90*E90</f>
        <v>19.43251994</v>
      </c>
      <c r="I90" s="44">
        <f>B86+G90*E90</f>
        <v>20.56748006</v>
      </c>
      <c r="J90" s="44">
        <f>G90*E90</f>
        <v>0.567480063</v>
      </c>
    </row>
    <row r="91">
      <c r="A91" s="9" t="s">
        <v>311</v>
      </c>
      <c r="B91" s="9">
        <v>180.0</v>
      </c>
      <c r="C91" s="17"/>
      <c r="D91" s="17"/>
      <c r="E91" s="17"/>
      <c r="F91" s="17"/>
      <c r="G91" s="17"/>
      <c r="H91" s="17"/>
      <c r="I91" s="17"/>
      <c r="J91" s="17"/>
    </row>
    <row r="92">
      <c r="A92" s="9" t="s">
        <v>312</v>
      </c>
      <c r="B92" s="9">
        <v>0.38</v>
      </c>
      <c r="C92" s="17"/>
      <c r="D92" s="17"/>
      <c r="E92" s="9" t="s">
        <v>313</v>
      </c>
      <c r="F92" s="17"/>
      <c r="G92" s="17"/>
      <c r="H92" s="17"/>
      <c r="I92" s="17"/>
      <c r="J92" s="17"/>
    </row>
    <row r="93">
      <c r="A93" s="17"/>
      <c r="B93" s="17"/>
      <c r="C93" s="17"/>
      <c r="D93" s="17"/>
      <c r="E93" s="18" t="s">
        <v>314</v>
      </c>
      <c r="F93" s="18" t="s">
        <v>108</v>
      </c>
      <c r="G93" s="18" t="s">
        <v>302</v>
      </c>
      <c r="H93" s="18" t="s">
        <v>303</v>
      </c>
      <c r="I93" s="18" t="s">
        <v>271</v>
      </c>
      <c r="J93" s="17"/>
    </row>
    <row r="94">
      <c r="A94" s="17"/>
      <c r="B94" s="17"/>
      <c r="C94" s="17"/>
      <c r="D94" s="17"/>
      <c r="E94" s="43">
        <f>SQRT(B92*(1-B92)/B89)</f>
        <v>0.03033665275</v>
      </c>
      <c r="F94" s="44">
        <f>F86</f>
        <v>1.644853625</v>
      </c>
      <c r="G94" s="47">
        <f>$B$92-$F$94*$E$94</f>
        <v>0.3301006468</v>
      </c>
      <c r="H94" s="47">
        <f>$B$92+$F$94*$E$94</f>
        <v>0.4298993532</v>
      </c>
      <c r="I94" s="47">
        <f>F94*E94</f>
        <v>0.04989935325</v>
      </c>
      <c r="J94" s="17"/>
    </row>
  </sheetData>
  <mergeCells count="47">
    <mergeCell ref="A7:B7"/>
    <mergeCell ref="A8:B8"/>
    <mergeCell ref="A1:I2"/>
    <mergeCell ref="A4:I4"/>
    <mergeCell ref="A5:B5"/>
    <mergeCell ref="C5:I5"/>
    <mergeCell ref="A6:B6"/>
    <mergeCell ref="C6:I6"/>
    <mergeCell ref="C7:I7"/>
    <mergeCell ref="C8:I8"/>
    <mergeCell ref="A11:I12"/>
    <mergeCell ref="A14:I14"/>
    <mergeCell ref="A15:B15"/>
    <mergeCell ref="C15:I15"/>
    <mergeCell ref="A16:B16"/>
    <mergeCell ref="C16:I16"/>
    <mergeCell ref="A17:B17"/>
    <mergeCell ref="C17:I17"/>
    <mergeCell ref="A18:B18"/>
    <mergeCell ref="C18:I18"/>
    <mergeCell ref="A19:B19"/>
    <mergeCell ref="C19:I19"/>
    <mergeCell ref="C20:I20"/>
    <mergeCell ref="A20:B20"/>
    <mergeCell ref="A23:C23"/>
    <mergeCell ref="A31:J32"/>
    <mergeCell ref="A34:J34"/>
    <mergeCell ref="A35:J35"/>
    <mergeCell ref="A36:D36"/>
    <mergeCell ref="G36:H36"/>
    <mergeCell ref="A44:J44"/>
    <mergeCell ref="A45:J45"/>
    <mergeCell ref="A46:B46"/>
    <mergeCell ref="A52:J52"/>
    <mergeCell ref="A53:F53"/>
    <mergeCell ref="A54:F54"/>
    <mergeCell ref="A55:B55"/>
    <mergeCell ref="A83:J83"/>
    <mergeCell ref="E84:J84"/>
    <mergeCell ref="A85:B85"/>
    <mergeCell ref="A62:J62"/>
    <mergeCell ref="A63:J63"/>
    <mergeCell ref="A64:B64"/>
    <mergeCell ref="A70:J70"/>
    <mergeCell ref="A71:J71"/>
    <mergeCell ref="A72:B72"/>
    <mergeCell ref="A82:J8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13.5"/>
    <col customWidth="1" min="3" max="3" width="17.5"/>
    <col customWidth="1" min="4" max="4" width="16.88"/>
    <col customWidth="1" min="5" max="5" width="19.13"/>
    <col customWidth="1" min="7" max="7" width="14.5"/>
    <col customWidth="1" min="8" max="8" width="14.0"/>
  </cols>
  <sheetData>
    <row r="1">
      <c r="A1" s="1" t="s">
        <v>315</v>
      </c>
    </row>
    <row r="3">
      <c r="A3" s="3"/>
      <c r="B3" s="3"/>
      <c r="C3" s="3"/>
      <c r="D3" s="3"/>
      <c r="E3" s="3"/>
      <c r="F3" s="3"/>
      <c r="G3" s="3"/>
      <c r="H3" s="3"/>
    </row>
    <row r="4">
      <c r="A4" s="4" t="s">
        <v>1</v>
      </c>
    </row>
    <row r="5">
      <c r="A5" s="5" t="s">
        <v>316</v>
      </c>
      <c r="C5" s="45" t="s">
        <v>317</v>
      </c>
    </row>
    <row r="6">
      <c r="A6" s="5" t="s">
        <v>318</v>
      </c>
      <c r="C6" s="20" t="s">
        <v>319</v>
      </c>
    </row>
    <row r="7">
      <c r="A7" s="5" t="s">
        <v>320</v>
      </c>
      <c r="C7" s="20" t="s">
        <v>321</v>
      </c>
    </row>
    <row r="8">
      <c r="A8" s="5" t="s">
        <v>322</v>
      </c>
      <c r="C8" s="20" t="s">
        <v>323</v>
      </c>
    </row>
    <row r="9">
      <c r="A9" s="5" t="s">
        <v>324</v>
      </c>
      <c r="C9" s="20" t="s">
        <v>325</v>
      </c>
    </row>
    <row r="10">
      <c r="A10" s="5" t="s">
        <v>326</v>
      </c>
      <c r="C10" s="20" t="s">
        <v>327</v>
      </c>
    </row>
    <row r="11">
      <c r="A11" s="5" t="s">
        <v>328</v>
      </c>
      <c r="C11" s="20" t="s">
        <v>329</v>
      </c>
    </row>
    <row r="12">
      <c r="A12" s="5" t="s">
        <v>330</v>
      </c>
      <c r="C12" s="20" t="s">
        <v>331</v>
      </c>
    </row>
    <row r="13">
      <c r="A13" s="5" t="s">
        <v>332</v>
      </c>
      <c r="C13" s="20" t="s">
        <v>333</v>
      </c>
    </row>
    <row r="14">
      <c r="A14" s="20" t="s">
        <v>334</v>
      </c>
      <c r="C14" s="20" t="s">
        <v>335</v>
      </c>
    </row>
    <row r="15">
      <c r="A15" s="20" t="s">
        <v>336</v>
      </c>
      <c r="C15" s="20" t="s">
        <v>337</v>
      </c>
    </row>
    <row r="16">
      <c r="A16" s="20" t="s">
        <v>338</v>
      </c>
      <c r="C16" s="20" t="s">
        <v>339</v>
      </c>
    </row>
    <row r="19">
      <c r="A19" s="6" t="s">
        <v>340</v>
      </c>
    </row>
    <row r="21">
      <c r="A21" s="3"/>
      <c r="B21" s="3"/>
      <c r="C21" s="3"/>
      <c r="D21" s="3"/>
      <c r="E21" s="3"/>
      <c r="F21" s="3"/>
      <c r="G21" s="3"/>
      <c r="H21" s="3"/>
    </row>
    <row r="22">
      <c r="A22" s="7" t="s">
        <v>1</v>
      </c>
    </row>
    <row r="23">
      <c r="A23" s="8"/>
      <c r="C23" s="9"/>
    </row>
    <row r="24">
      <c r="A24" s="8"/>
      <c r="C24" s="9"/>
    </row>
    <row r="25">
      <c r="A25" s="8"/>
      <c r="C25" s="9"/>
    </row>
    <row r="26">
      <c r="A26" s="8"/>
      <c r="C26" s="9"/>
    </row>
    <row r="27">
      <c r="A27" s="8"/>
      <c r="C27" s="9"/>
    </row>
    <row r="28">
      <c r="A28" s="8"/>
      <c r="C28" s="9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2">
      <c r="A32" s="12" t="s">
        <v>29</v>
      </c>
    </row>
    <row r="34">
      <c r="A34" s="3"/>
      <c r="B34" s="3"/>
      <c r="C34" s="3"/>
      <c r="D34" s="3"/>
      <c r="E34" s="3"/>
      <c r="F34" s="3"/>
      <c r="G34" s="3"/>
      <c r="H34" s="3"/>
    </row>
    <row r="35">
      <c r="A35" s="4" t="s">
        <v>30</v>
      </c>
    </row>
    <row r="36">
      <c r="A36" s="20" t="s">
        <v>341</v>
      </c>
    </row>
    <row r="37">
      <c r="A37" s="23"/>
      <c r="B37" s="20" t="s">
        <v>342</v>
      </c>
      <c r="C37" s="20" t="s">
        <v>343</v>
      </c>
      <c r="D37" s="23"/>
      <c r="E37" s="23"/>
      <c r="F37" s="38" t="s">
        <v>344</v>
      </c>
      <c r="G37" s="38" t="s">
        <v>345</v>
      </c>
      <c r="H37" s="4" t="s">
        <v>346</v>
      </c>
      <c r="I37" s="23"/>
      <c r="J37" s="23"/>
    </row>
    <row r="38">
      <c r="A38" s="20" t="s">
        <v>347</v>
      </c>
      <c r="B38" s="20">
        <v>1.8</v>
      </c>
      <c r="C38" s="20">
        <v>0.1</v>
      </c>
      <c r="D38" s="23"/>
      <c r="E38" s="23"/>
      <c r="F38" s="42">
        <f>1-_xlfn.NORM.S.DIST(B38)</f>
        <v>0.03593031911</v>
      </c>
      <c r="G38" s="42">
        <f t="shared" ref="G38:G41" si="1">F38-C38</f>
        <v>-0.06406968089</v>
      </c>
      <c r="H38" s="5" t="str">
        <f t="shared" ref="H38:H41" si="2">IF(G38&lt;=0, "Reject", "Fail to Reject")</f>
        <v>Reject</v>
      </c>
      <c r="I38" s="23"/>
      <c r="J38" s="23"/>
    </row>
    <row r="39">
      <c r="A39" s="20" t="s">
        <v>347</v>
      </c>
      <c r="B39" s="20">
        <v>-2.85</v>
      </c>
      <c r="C39" s="20">
        <v>0.01</v>
      </c>
      <c r="D39" s="23"/>
      <c r="E39" s="23"/>
      <c r="F39" s="42">
        <f>_xlfn.NORM.S.DIST(B39)</f>
        <v>0.002185961455</v>
      </c>
      <c r="G39" s="42">
        <f t="shared" si="1"/>
        <v>-0.007814038545</v>
      </c>
      <c r="H39" s="5" t="str">
        <f t="shared" si="2"/>
        <v>Reject</v>
      </c>
      <c r="I39" s="23"/>
      <c r="J39" s="23"/>
    </row>
    <row r="40">
      <c r="A40" s="20" t="s">
        <v>348</v>
      </c>
      <c r="B40" s="20">
        <v>2.9</v>
      </c>
      <c r="C40" s="20">
        <v>0.1</v>
      </c>
      <c r="D40" s="23"/>
      <c r="E40" s="23"/>
      <c r="F40" s="42">
        <f>2*(1-_xlfn.NORM.S.DIST(B40))</f>
        <v>0.003731626601</v>
      </c>
      <c r="G40" s="42">
        <f t="shared" si="1"/>
        <v>-0.0962683734</v>
      </c>
      <c r="H40" s="5" t="str">
        <f t="shared" si="2"/>
        <v>Reject</v>
      </c>
      <c r="I40" s="23"/>
      <c r="J40" s="23"/>
    </row>
    <row r="41">
      <c r="A41" s="20" t="s">
        <v>348</v>
      </c>
      <c r="B41" s="20">
        <v>-1.77</v>
      </c>
      <c r="C41" s="20">
        <v>0.02</v>
      </c>
      <c r="D41" s="23"/>
      <c r="E41" s="23"/>
      <c r="F41" s="42">
        <f>2*_xlfn.NORM.S.DIST(B41)</f>
        <v>0.07672714073</v>
      </c>
      <c r="G41" s="42">
        <f t="shared" si="1"/>
        <v>0.05672714073</v>
      </c>
      <c r="H41" s="5" t="str">
        <f t="shared" si="2"/>
        <v>Fail to Reject</v>
      </c>
      <c r="I41" s="23"/>
      <c r="J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</row>
    <row r="45">
      <c r="A45" s="4" t="s">
        <v>34</v>
      </c>
    </row>
    <row r="46">
      <c r="A46" s="20" t="s">
        <v>349</v>
      </c>
    </row>
    <row r="47">
      <c r="A47" s="20" t="s">
        <v>350</v>
      </c>
      <c r="B47" s="23"/>
      <c r="C47" s="23"/>
      <c r="D47" s="20" t="s">
        <v>351</v>
      </c>
      <c r="E47" s="20" t="s">
        <v>286</v>
      </c>
      <c r="F47" s="20" t="s">
        <v>352</v>
      </c>
      <c r="G47" s="23"/>
      <c r="H47" s="23"/>
      <c r="I47" s="23"/>
      <c r="J47" s="23"/>
    </row>
    <row r="48">
      <c r="A48" s="20" t="s">
        <v>353</v>
      </c>
      <c r="B48" s="23"/>
      <c r="C48" s="23"/>
      <c r="D48" s="38" t="s">
        <v>301</v>
      </c>
      <c r="E48" s="38" t="s">
        <v>354</v>
      </c>
      <c r="F48" s="38" t="s">
        <v>355</v>
      </c>
      <c r="G48" s="38" t="s">
        <v>344</v>
      </c>
      <c r="H48" s="38" t="s">
        <v>356</v>
      </c>
      <c r="I48" s="4" t="s">
        <v>346</v>
      </c>
      <c r="J48" s="23"/>
    </row>
    <row r="49">
      <c r="A49" s="23"/>
      <c r="B49" s="23"/>
      <c r="C49" s="23"/>
      <c r="D49" s="39">
        <f>B53/SQRT(B54)</f>
        <v>0.9486832981</v>
      </c>
      <c r="E49" s="40">
        <f>(B51-B56)/D49</f>
        <v>1.054092553</v>
      </c>
      <c r="F49" s="40">
        <f>_xlfn.NORM.S.INV(1-B55)</f>
        <v>2.326347874</v>
      </c>
      <c r="G49" s="39">
        <f>1-_xlfn.NORM.S.DIST(E49)</f>
        <v>0.1459202726</v>
      </c>
      <c r="H49" s="39">
        <f>$G$49-B55</f>
        <v>0.1359202726</v>
      </c>
      <c r="I49" s="5" t="str">
        <f>IF(H49&lt;=0, "Reject", "Fail to Reject")</f>
        <v>Fail to Reject</v>
      </c>
      <c r="J49" s="23"/>
    </row>
    <row r="50">
      <c r="A50" s="4" t="s">
        <v>35</v>
      </c>
      <c r="C50" s="23"/>
      <c r="D50" s="20" t="s">
        <v>357</v>
      </c>
      <c r="E50" s="23"/>
      <c r="F50" s="20" t="s">
        <v>352</v>
      </c>
      <c r="G50" s="23"/>
      <c r="H50" s="23"/>
      <c r="I50" s="23"/>
      <c r="J50" s="23"/>
    </row>
    <row r="51">
      <c r="A51" s="20" t="s">
        <v>288</v>
      </c>
      <c r="B51" s="20">
        <v>31.0</v>
      </c>
      <c r="C51" s="23"/>
      <c r="D51" s="38" t="s">
        <v>358</v>
      </c>
      <c r="E51" s="38" t="s">
        <v>354</v>
      </c>
      <c r="F51" s="38" t="s">
        <v>359</v>
      </c>
      <c r="G51" s="38" t="s">
        <v>344</v>
      </c>
      <c r="H51" s="38" t="s">
        <v>356</v>
      </c>
      <c r="I51" s="4" t="s">
        <v>346</v>
      </c>
      <c r="J51" s="23"/>
    </row>
    <row r="52">
      <c r="A52" s="20" t="s">
        <v>304</v>
      </c>
      <c r="B52" s="50">
        <v>44.0</v>
      </c>
      <c r="C52" s="23"/>
      <c r="D52" s="39">
        <f>$B$52/SQRT($B$54)</f>
        <v>6.957010852</v>
      </c>
      <c r="E52" s="40">
        <f>(B51-B56)/D52</f>
        <v>0.1437398936</v>
      </c>
      <c r="F52" s="40">
        <f>E56</f>
        <v>2.42584141</v>
      </c>
      <c r="G52" s="39">
        <f>1-_xlfn.T.DIST(E52,B54-1,TRUE)</f>
        <v>0.4432230174</v>
      </c>
      <c r="H52" s="39">
        <f>$G$52-B55</f>
        <v>0.4332230174</v>
      </c>
      <c r="I52" s="5" t="str">
        <f>IF(H52&lt;=0, "Reject", "Fail to Reject")</f>
        <v>Fail to Reject</v>
      </c>
      <c r="J52" s="23"/>
    </row>
    <row r="53">
      <c r="A53" s="20" t="s">
        <v>305</v>
      </c>
      <c r="B53" s="50">
        <v>6.0</v>
      </c>
      <c r="C53" s="23"/>
      <c r="D53" s="23"/>
      <c r="E53" s="23"/>
      <c r="F53" s="23"/>
      <c r="G53" s="20" t="s">
        <v>360</v>
      </c>
      <c r="H53" s="20"/>
      <c r="I53" s="23"/>
      <c r="J53" s="23"/>
    </row>
    <row r="54">
      <c r="A54" s="20" t="s">
        <v>307</v>
      </c>
      <c r="B54" s="20">
        <v>40.0</v>
      </c>
      <c r="C54" s="23"/>
      <c r="D54" s="20" t="s">
        <v>361</v>
      </c>
      <c r="E54" s="20"/>
      <c r="F54" s="23"/>
      <c r="G54" s="23"/>
      <c r="H54" s="23"/>
      <c r="I54" s="23"/>
      <c r="J54" s="23"/>
    </row>
    <row r="55">
      <c r="A55" s="20" t="s">
        <v>343</v>
      </c>
      <c r="B55" s="20">
        <v>0.01</v>
      </c>
      <c r="C55" s="23"/>
      <c r="D55" s="23"/>
      <c r="E55" s="38" t="s">
        <v>359</v>
      </c>
      <c r="F55" s="23"/>
      <c r="G55" s="23"/>
      <c r="H55" s="23"/>
      <c r="I55" s="23"/>
      <c r="J55" s="23"/>
    </row>
    <row r="56">
      <c r="A56" s="20" t="s">
        <v>362</v>
      </c>
      <c r="B56" s="20">
        <v>30.0</v>
      </c>
      <c r="C56" s="23"/>
      <c r="D56" s="20" t="s">
        <v>363</v>
      </c>
      <c r="E56" s="39">
        <f>_xlfn.T.INV(1-$B$55, ($B$54-1))</f>
        <v>2.42584141</v>
      </c>
      <c r="F56" s="20" t="s">
        <v>352</v>
      </c>
      <c r="G56" s="23"/>
      <c r="H56" s="23"/>
      <c r="I56" s="23"/>
      <c r="J56" s="23"/>
    </row>
    <row r="57">
      <c r="A57" s="23"/>
      <c r="B57" s="23"/>
      <c r="C57" s="23"/>
      <c r="D57" s="20" t="s">
        <v>364</v>
      </c>
      <c r="E57" s="39">
        <f>_xlfn.T.INV.2T($B$55, ($B$54-1))</f>
        <v>2.707913184</v>
      </c>
      <c r="F57" s="20" t="s">
        <v>352</v>
      </c>
      <c r="G57" s="23"/>
      <c r="H57" s="23"/>
      <c r="I57" s="23"/>
      <c r="J57" s="23"/>
    </row>
    <row r="60">
      <c r="A60" s="4" t="s">
        <v>112</v>
      </c>
    </row>
    <row r="61">
      <c r="A61" s="20" t="s">
        <v>349</v>
      </c>
    </row>
    <row r="62">
      <c r="A62" s="20" t="s">
        <v>365</v>
      </c>
      <c r="B62" s="23"/>
      <c r="C62" s="23"/>
      <c r="D62" s="20"/>
      <c r="E62" s="20" t="s">
        <v>286</v>
      </c>
      <c r="F62" s="20"/>
      <c r="G62" s="23"/>
      <c r="H62" s="23"/>
      <c r="I62" s="23"/>
      <c r="J62" s="23"/>
    </row>
    <row r="63">
      <c r="A63" s="20" t="s">
        <v>366</v>
      </c>
      <c r="B63" s="23"/>
      <c r="C63" s="23"/>
      <c r="D63" s="38" t="s">
        <v>367</v>
      </c>
      <c r="E63" s="38" t="s">
        <v>354</v>
      </c>
      <c r="F63" s="38" t="s">
        <v>355</v>
      </c>
      <c r="G63" s="38" t="s">
        <v>368</v>
      </c>
      <c r="H63" s="38"/>
      <c r="I63" s="4"/>
      <c r="J63" s="23"/>
    </row>
    <row r="64">
      <c r="A64" s="23"/>
      <c r="B64" s="23"/>
      <c r="C64" s="23"/>
      <c r="D64" s="40">
        <f>B71+_xlfn.NORM.S.INV((1-B70)*B68/SQRT(B69))</f>
        <v>31.28870192</v>
      </c>
      <c r="E64" s="40">
        <f>(D64-B66)/(B68/SQRT(B69))</f>
        <v>-1.803866561</v>
      </c>
      <c r="F64" s="40">
        <f>_xlfn.NORM.S.INV(1-$B$70)</f>
        <v>1.644853625</v>
      </c>
      <c r="G64" s="40">
        <f>_xlfn.NORM.S.DIST(E64)</f>
        <v>0.0356261141</v>
      </c>
      <c r="H64" s="23"/>
      <c r="I64" s="23"/>
      <c r="J64" s="23"/>
    </row>
    <row r="65">
      <c r="A65" s="4" t="s">
        <v>35</v>
      </c>
      <c r="C65" s="23"/>
      <c r="D65" s="23"/>
      <c r="E65" s="23"/>
      <c r="F65" s="23"/>
      <c r="G65" s="23"/>
      <c r="H65" s="23"/>
      <c r="I65" s="23"/>
      <c r="J65" s="23"/>
    </row>
    <row r="66">
      <c r="A66" s="20" t="s">
        <v>288</v>
      </c>
      <c r="B66" s="20">
        <v>33.0</v>
      </c>
      <c r="C66" s="23"/>
      <c r="D66" s="23"/>
      <c r="E66" s="23"/>
      <c r="F66" s="23"/>
      <c r="G66" s="23"/>
      <c r="H66" s="23"/>
      <c r="I66" s="23"/>
      <c r="J66" s="23"/>
    </row>
    <row r="67">
      <c r="A67" s="20" t="s">
        <v>304</v>
      </c>
      <c r="B67" s="50">
        <v>44.0</v>
      </c>
      <c r="C67" s="23"/>
      <c r="D67" s="23"/>
      <c r="E67" s="23"/>
      <c r="F67" s="23"/>
      <c r="G67" s="23"/>
      <c r="H67" s="23"/>
      <c r="I67" s="23"/>
      <c r="J67" s="23"/>
    </row>
    <row r="68">
      <c r="A68" s="20" t="s">
        <v>305</v>
      </c>
      <c r="B68" s="50">
        <v>6.0</v>
      </c>
      <c r="C68" s="23"/>
      <c r="D68" s="23"/>
      <c r="E68" s="23"/>
      <c r="F68" s="23"/>
      <c r="G68" s="23"/>
      <c r="H68" s="23"/>
      <c r="I68" s="23"/>
      <c r="J68" s="23"/>
    </row>
    <row r="69">
      <c r="A69" s="20" t="s">
        <v>307</v>
      </c>
      <c r="B69" s="20">
        <v>40.0</v>
      </c>
      <c r="C69" s="23"/>
      <c r="D69" s="23"/>
      <c r="E69" s="23"/>
      <c r="F69" s="23"/>
      <c r="G69" s="23"/>
      <c r="H69" s="23"/>
      <c r="I69" s="23"/>
      <c r="J69" s="23"/>
    </row>
    <row r="70">
      <c r="A70" s="20" t="s">
        <v>343</v>
      </c>
      <c r="B70" s="20">
        <v>0.05</v>
      </c>
      <c r="C70" s="23"/>
      <c r="D70" s="23"/>
      <c r="E70" s="23"/>
      <c r="F70" s="23"/>
      <c r="G70" s="23"/>
      <c r="H70" s="23"/>
      <c r="I70" s="23"/>
      <c r="J70" s="23"/>
    </row>
    <row r="71">
      <c r="A71" s="20" t="s">
        <v>362</v>
      </c>
      <c r="B71" s="20">
        <v>30.0</v>
      </c>
      <c r="C71" s="23"/>
      <c r="D71" s="23"/>
      <c r="E71" s="23"/>
      <c r="F71" s="23"/>
      <c r="G71" s="23"/>
      <c r="H71" s="23"/>
      <c r="I71" s="23"/>
      <c r="J71" s="23"/>
    </row>
    <row r="74">
      <c r="A74" s="7" t="s">
        <v>129</v>
      </c>
    </row>
    <row r="75">
      <c r="A75" s="9" t="s">
        <v>369</v>
      </c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</row>
    <row r="77">
      <c r="A77" s="17"/>
      <c r="B77" s="7" t="s">
        <v>35</v>
      </c>
      <c r="D77" s="17"/>
      <c r="E77" s="18" t="s">
        <v>370</v>
      </c>
      <c r="F77" s="18" t="s">
        <v>371</v>
      </c>
      <c r="G77" s="18" t="s">
        <v>355</v>
      </c>
      <c r="H77" s="18" t="s">
        <v>271</v>
      </c>
      <c r="I77" s="17"/>
      <c r="J77" s="17"/>
    </row>
    <row r="78">
      <c r="A78" s="17"/>
      <c r="B78" s="9" t="s">
        <v>243</v>
      </c>
      <c r="C78" s="9" t="s">
        <v>244</v>
      </c>
      <c r="D78" s="17"/>
      <c r="E78" s="17">
        <f>B79-C79</f>
        <v>-9</v>
      </c>
      <c r="F78" s="43">
        <f>SQRT((B80^2)/B81 + (C80^2)/C81)</f>
        <v>2.224062838</v>
      </c>
      <c r="G78" s="43">
        <f>_xlfn.NORM.S.INV((1-(1-B82)/2))</f>
        <v>1.959963986</v>
      </c>
      <c r="H78" s="43">
        <f>G78*F78</f>
        <v>4.359083064</v>
      </c>
      <c r="I78" s="17"/>
      <c r="J78" s="17"/>
    </row>
    <row r="79">
      <c r="A79" s="9" t="s">
        <v>288</v>
      </c>
      <c r="B79" s="9">
        <v>48.0</v>
      </c>
      <c r="C79" s="9">
        <v>57.0</v>
      </c>
      <c r="D79" s="17"/>
      <c r="E79" s="17"/>
      <c r="F79" s="17"/>
      <c r="G79" s="9" t="s">
        <v>352</v>
      </c>
      <c r="H79" s="17"/>
      <c r="I79" s="17"/>
      <c r="J79" s="17"/>
    </row>
    <row r="80">
      <c r="A80" s="9" t="s">
        <v>372</v>
      </c>
      <c r="B80" s="9">
        <v>9.0</v>
      </c>
      <c r="C80" s="9">
        <v>10.0</v>
      </c>
      <c r="D80" s="17"/>
      <c r="E80" s="18" t="s">
        <v>373</v>
      </c>
      <c r="F80" s="18" t="s">
        <v>374</v>
      </c>
      <c r="G80" s="17"/>
      <c r="H80" s="17"/>
      <c r="I80" s="17"/>
      <c r="J80" s="17"/>
    </row>
    <row r="81">
      <c r="A81" s="9" t="s">
        <v>307</v>
      </c>
      <c r="B81" s="9">
        <v>34.0</v>
      </c>
      <c r="C81" s="9">
        <v>39.0</v>
      </c>
      <c r="D81" s="17"/>
      <c r="E81" s="43">
        <f>$E$78-$H$78</f>
        <v>-13.35908306</v>
      </c>
      <c r="F81" s="43">
        <f>$E$78+$H$78</f>
        <v>-4.640916936</v>
      </c>
      <c r="G81" s="17"/>
      <c r="H81" s="17"/>
      <c r="I81" s="17"/>
      <c r="J81" s="17"/>
    </row>
    <row r="82">
      <c r="A82" s="9" t="s">
        <v>375</v>
      </c>
      <c r="B82" s="46">
        <v>0.95</v>
      </c>
      <c r="C82" s="46"/>
      <c r="D82" s="17"/>
      <c r="E82" s="17"/>
      <c r="F82" s="17"/>
      <c r="G82" s="17"/>
      <c r="H82" s="17"/>
      <c r="I82" s="17"/>
      <c r="J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</row>
    <row r="86">
      <c r="A86" s="7" t="s">
        <v>142</v>
      </c>
    </row>
    <row r="87">
      <c r="A87" s="9" t="s">
        <v>376</v>
      </c>
    </row>
    <row r="88">
      <c r="A88" s="9" t="s">
        <v>377</v>
      </c>
      <c r="B88" s="17"/>
      <c r="C88" s="17"/>
      <c r="D88" s="17"/>
      <c r="E88" s="9" t="s">
        <v>378</v>
      </c>
      <c r="F88" s="17"/>
      <c r="G88" s="17"/>
      <c r="H88" s="17"/>
      <c r="I88" s="17"/>
      <c r="J88" s="17"/>
    </row>
    <row r="89">
      <c r="A89" s="9" t="s">
        <v>379</v>
      </c>
      <c r="B89" s="17"/>
      <c r="C89" s="17"/>
      <c r="D89" s="17"/>
      <c r="E89" s="9" t="s">
        <v>380</v>
      </c>
      <c r="F89" s="17"/>
      <c r="G89" s="17"/>
      <c r="H89" s="17"/>
      <c r="I89" s="17"/>
      <c r="J89" s="17"/>
    </row>
    <row r="90">
      <c r="A90" s="17"/>
      <c r="B90" s="17"/>
      <c r="C90" s="17"/>
      <c r="D90" s="17"/>
      <c r="E90" s="17"/>
      <c r="F90" s="17"/>
      <c r="G90" s="9" t="s">
        <v>286</v>
      </c>
      <c r="H90" s="17"/>
      <c r="I90" s="9" t="s">
        <v>352</v>
      </c>
      <c r="J90" s="17"/>
    </row>
    <row r="91">
      <c r="A91" s="7" t="s">
        <v>35</v>
      </c>
      <c r="C91" s="9" t="s">
        <v>381</v>
      </c>
      <c r="D91" s="9" t="s">
        <v>382</v>
      </c>
      <c r="E91" s="18" t="s">
        <v>370</v>
      </c>
      <c r="F91" s="18" t="s">
        <v>371</v>
      </c>
      <c r="G91" s="18" t="s">
        <v>354</v>
      </c>
      <c r="H91" s="18" t="s">
        <v>355</v>
      </c>
      <c r="I91" s="18" t="s">
        <v>344</v>
      </c>
      <c r="J91" s="17"/>
    </row>
    <row r="92">
      <c r="A92" s="9" t="s">
        <v>383</v>
      </c>
      <c r="B92" s="17">
        <v>5.512499999999999</v>
      </c>
      <c r="C92" s="17">
        <v>5.512499999999999</v>
      </c>
      <c r="D92" s="17">
        <v>0.6471312763952063</v>
      </c>
      <c r="E92" s="17">
        <f>$B$92-$B$93</f>
        <v>-0.695</v>
      </c>
      <c r="F92" s="43">
        <f>SQRT((B94^2)/B96 + (B95^2)/B97)</f>
        <v>0.5902819895</v>
      </c>
      <c r="G92" s="44">
        <f>E92/F92</f>
        <v>-1.177403364</v>
      </c>
      <c r="H92" s="43">
        <f>2*_xlfn.NORM.S.DIST((1-(B98)))</f>
        <v>1.631879749</v>
      </c>
      <c r="I92" s="17">
        <f>1-_xlfn.NORM.S.DIST(G92)</f>
        <v>0.880482726</v>
      </c>
      <c r="J92" s="17"/>
    </row>
    <row r="93">
      <c r="A93" s="9" t="s">
        <v>384</v>
      </c>
      <c r="B93" s="17">
        <v>6.2075</v>
      </c>
      <c r="C93" s="17"/>
      <c r="D93" s="17"/>
      <c r="E93" s="17"/>
      <c r="F93" s="17"/>
      <c r="G93" s="17"/>
      <c r="H93" s="9" t="s">
        <v>352</v>
      </c>
      <c r="I93" s="17"/>
      <c r="J93" s="17"/>
    </row>
    <row r="94">
      <c r="A94" s="9" t="s">
        <v>385</v>
      </c>
      <c r="B94" s="17">
        <v>0.6471312763952063</v>
      </c>
      <c r="C94" s="17"/>
      <c r="D94" s="17"/>
      <c r="E94" s="18" t="s">
        <v>356</v>
      </c>
      <c r="F94" s="18" t="s">
        <v>346</v>
      </c>
      <c r="G94" s="17"/>
      <c r="H94" s="17"/>
      <c r="I94" s="17"/>
      <c r="J94" s="17"/>
    </row>
    <row r="95">
      <c r="A95" s="9" t="s">
        <v>386</v>
      </c>
      <c r="B95" s="17">
        <v>1.6610221083551069</v>
      </c>
      <c r="C95" s="17"/>
      <c r="D95" s="17"/>
      <c r="E95" s="23">
        <f>I92-B98</f>
        <v>0.780482726</v>
      </c>
      <c r="F95" s="5" t="str">
        <f>IF(E95&lt;=0, "Reject", "Fail to Reject")</f>
        <v>Fail to Reject</v>
      </c>
      <c r="G95" s="17"/>
      <c r="H95" s="17"/>
      <c r="I95" s="17"/>
      <c r="J95" s="17"/>
    </row>
    <row r="96">
      <c r="A96" s="9" t="s">
        <v>387</v>
      </c>
      <c r="B96" s="9">
        <v>10.0</v>
      </c>
      <c r="C96" s="9" t="s">
        <v>388</v>
      </c>
      <c r="D96" s="17"/>
      <c r="E96" s="17"/>
      <c r="F96" s="17"/>
      <c r="G96" s="17"/>
      <c r="H96" s="17"/>
      <c r="I96" s="17"/>
      <c r="J96" s="17"/>
    </row>
    <row r="97">
      <c r="A97" s="9" t="s">
        <v>389</v>
      </c>
      <c r="B97" s="9">
        <v>9.0</v>
      </c>
      <c r="C97" s="17">
        <v>6.2075</v>
      </c>
      <c r="D97" s="17">
        <v>1.6610221083551069</v>
      </c>
      <c r="E97" s="17"/>
      <c r="F97" s="17"/>
      <c r="G97" s="17"/>
      <c r="H97" s="17"/>
      <c r="I97" s="17"/>
      <c r="J97" s="17"/>
    </row>
    <row r="98">
      <c r="A98" s="9" t="s">
        <v>390</v>
      </c>
      <c r="B98" s="9">
        <v>0.1</v>
      </c>
      <c r="C98" s="17"/>
      <c r="D98" s="17"/>
      <c r="E98" s="17"/>
      <c r="F98" s="17"/>
      <c r="G98" s="17"/>
      <c r="H98" s="17"/>
      <c r="I98" s="17"/>
      <c r="J98" s="17"/>
    </row>
    <row r="101">
      <c r="A101" s="7" t="s">
        <v>142</v>
      </c>
    </row>
    <row r="102">
      <c r="A102" s="9" t="s">
        <v>391</v>
      </c>
    </row>
    <row r="103">
      <c r="A103" s="9" t="s">
        <v>377</v>
      </c>
      <c r="B103" s="17"/>
      <c r="C103" s="17"/>
      <c r="D103" s="17"/>
      <c r="E103" s="9" t="s">
        <v>392</v>
      </c>
      <c r="F103" s="17"/>
      <c r="G103" s="17"/>
      <c r="H103" s="17"/>
      <c r="I103" s="17"/>
      <c r="J103" s="17"/>
    </row>
    <row r="104">
      <c r="A104" s="9" t="s">
        <v>379</v>
      </c>
      <c r="B104" s="17"/>
      <c r="C104" s="17"/>
      <c r="D104" s="17"/>
      <c r="E104" s="9" t="s">
        <v>393</v>
      </c>
      <c r="F104" s="17"/>
      <c r="G104" s="17"/>
      <c r="H104" s="17"/>
      <c r="I104" s="17"/>
      <c r="J104" s="17"/>
    </row>
    <row r="105">
      <c r="A105" s="17"/>
      <c r="B105" s="17"/>
      <c r="C105" s="17"/>
      <c r="D105" s="17"/>
      <c r="E105" s="9"/>
      <c r="F105" s="17"/>
      <c r="G105" s="9"/>
      <c r="H105" s="17"/>
      <c r="I105" s="9"/>
      <c r="J105" s="17"/>
    </row>
    <row r="106">
      <c r="A106" s="7" t="s">
        <v>35</v>
      </c>
      <c r="C106" s="17"/>
      <c r="D106" s="17"/>
      <c r="E106" s="9"/>
      <c r="F106" s="9"/>
      <c r="G106" s="9"/>
      <c r="H106" s="9"/>
      <c r="I106" s="9"/>
      <c r="J106" s="17"/>
    </row>
    <row r="107">
      <c r="A107" s="9" t="s">
        <v>383</v>
      </c>
      <c r="B107" s="9">
        <v>38.0</v>
      </c>
      <c r="C107" s="17"/>
      <c r="D107" s="9" t="s">
        <v>394</v>
      </c>
      <c r="E107" s="9"/>
      <c r="F107" s="17"/>
      <c r="G107" s="17"/>
      <c r="H107" s="17"/>
      <c r="I107" s="17"/>
      <c r="J107" s="17"/>
    </row>
    <row r="108">
      <c r="A108" s="9" t="s">
        <v>384</v>
      </c>
      <c r="B108" s="9">
        <v>24.0</v>
      </c>
      <c r="C108" s="17"/>
      <c r="D108" s="18" t="s">
        <v>395</v>
      </c>
      <c r="E108" s="18" t="s">
        <v>396</v>
      </c>
      <c r="F108" s="18" t="s">
        <v>371</v>
      </c>
      <c r="G108" s="18" t="s">
        <v>397</v>
      </c>
      <c r="H108" s="18" t="s">
        <v>398</v>
      </c>
      <c r="I108" s="18" t="s">
        <v>344</v>
      </c>
      <c r="J108" s="17"/>
    </row>
    <row r="109">
      <c r="A109" s="9" t="s">
        <v>385</v>
      </c>
      <c r="B109" s="9"/>
      <c r="C109" s="17"/>
      <c r="D109" s="17">
        <f>B113+B114-2</f>
        <v>116</v>
      </c>
      <c r="E109" s="47">
        <f>((B113-1)*B111^2 + (B114-1)*B112^2)/D109</f>
        <v>322.4327586</v>
      </c>
      <c r="F109" s="47">
        <f>SQRT(E109*(1/B113 + 1/B114))</f>
        <v>3.317979636</v>
      </c>
      <c r="G109" s="47">
        <f>(B107-B108)/F109</f>
        <v>4.219435179</v>
      </c>
      <c r="H109" s="44">
        <f>_xlfn.T.INV.2T((B115), D109)</f>
        <v>1.980626002</v>
      </c>
      <c r="I109" s="51">
        <f>_xlfn.T.DIST.RT(G109,D109)</f>
        <v>0.00002442205511</v>
      </c>
      <c r="J109" s="17"/>
    </row>
    <row r="110">
      <c r="A110" s="9" t="s">
        <v>386</v>
      </c>
      <c r="B110" s="9"/>
      <c r="C110" s="17"/>
      <c r="D110" s="17"/>
      <c r="E110" s="18" t="s">
        <v>356</v>
      </c>
      <c r="F110" s="18" t="s">
        <v>346</v>
      </c>
      <c r="G110" s="17"/>
      <c r="H110" s="17"/>
      <c r="I110" s="17"/>
      <c r="J110" s="17"/>
    </row>
    <row r="111">
      <c r="A111" s="9" t="s">
        <v>399</v>
      </c>
      <c r="B111" s="9">
        <v>21.3</v>
      </c>
      <c r="C111" s="17"/>
      <c r="D111" s="17"/>
      <c r="E111" s="52">
        <f>I109-B115</f>
        <v>-0.04997557794</v>
      </c>
      <c r="F111" s="5" t="str">
        <f>IF(E111&lt;=0, "Reject", "Fail to Reject")</f>
        <v>Reject</v>
      </c>
      <c r="G111" s="17"/>
      <c r="H111" s="17">
        <f>38-24</f>
        <v>14</v>
      </c>
      <c r="I111" s="17"/>
      <c r="J111" s="17"/>
    </row>
    <row r="112">
      <c r="A112" s="9" t="s">
        <v>400</v>
      </c>
      <c r="B112" s="9">
        <v>12.9</v>
      </c>
      <c r="C112" s="17"/>
      <c r="D112" s="17"/>
      <c r="E112" s="17"/>
      <c r="F112" s="17"/>
      <c r="G112" s="17"/>
      <c r="H112" s="44">
        <f>H111+H109*F109</f>
        <v>20.57167674</v>
      </c>
      <c r="I112" s="17"/>
      <c r="J112" s="17"/>
    </row>
    <row r="113">
      <c r="A113" s="9" t="s">
        <v>387</v>
      </c>
      <c r="B113" s="9">
        <v>64.0</v>
      </c>
      <c r="C113" s="17"/>
      <c r="D113" s="17"/>
      <c r="E113" s="17"/>
      <c r="F113" s="17"/>
      <c r="G113" s="17"/>
      <c r="H113" s="44">
        <f>H111-H109*F109</f>
        <v>7.428323257</v>
      </c>
      <c r="I113" s="17"/>
      <c r="J113" s="17"/>
    </row>
    <row r="114">
      <c r="A114" s="9" t="s">
        <v>389</v>
      </c>
      <c r="B114" s="9">
        <v>54.0</v>
      </c>
      <c r="C114" s="17"/>
      <c r="D114" s="17"/>
      <c r="E114" s="17"/>
      <c r="F114" s="17"/>
      <c r="G114" s="17"/>
      <c r="H114" s="17"/>
      <c r="I114" s="17"/>
      <c r="J114" s="17"/>
    </row>
    <row r="115">
      <c r="A115" s="9" t="s">
        <v>390</v>
      </c>
      <c r="B115" s="9">
        <v>0.05</v>
      </c>
      <c r="C115" s="17"/>
      <c r="D115" s="17"/>
      <c r="E115" s="17"/>
      <c r="F115" s="17"/>
      <c r="G115" s="17"/>
      <c r="H115" s="17"/>
      <c r="I115" s="17"/>
      <c r="J115" s="17"/>
    </row>
    <row r="118">
      <c r="A118" s="7" t="s">
        <v>146</v>
      </c>
    </row>
    <row r="119">
      <c r="A119" s="9" t="s">
        <v>401</v>
      </c>
    </row>
    <row r="120">
      <c r="A120" s="9" t="s">
        <v>377</v>
      </c>
      <c r="E120" s="9" t="s">
        <v>402</v>
      </c>
      <c r="F120" s="17"/>
      <c r="G120" s="17"/>
      <c r="H120" s="17"/>
      <c r="I120" s="17"/>
      <c r="J120" s="17"/>
    </row>
    <row r="121">
      <c r="A121" s="9" t="s">
        <v>379</v>
      </c>
      <c r="E121" s="9" t="s">
        <v>403</v>
      </c>
      <c r="F121" s="17"/>
      <c r="G121" s="17"/>
      <c r="H121" s="17"/>
      <c r="I121" s="17"/>
      <c r="J121" s="17"/>
    </row>
    <row r="122">
      <c r="A122" s="17"/>
      <c r="B122" s="17"/>
      <c r="C122" s="17"/>
      <c r="D122" s="17"/>
      <c r="E122" s="17"/>
      <c r="F122" s="17"/>
      <c r="G122" s="9" t="s">
        <v>286</v>
      </c>
      <c r="H122" s="17"/>
      <c r="I122" s="17"/>
      <c r="J122" s="17"/>
    </row>
    <row r="123">
      <c r="A123" s="7" t="s">
        <v>35</v>
      </c>
      <c r="C123" s="17"/>
      <c r="D123" s="18" t="s">
        <v>404</v>
      </c>
      <c r="E123" s="18" t="s">
        <v>405</v>
      </c>
      <c r="F123" s="18" t="s">
        <v>406</v>
      </c>
      <c r="G123" s="18" t="s">
        <v>354</v>
      </c>
      <c r="H123" s="18" t="s">
        <v>355</v>
      </c>
      <c r="I123" s="18" t="s">
        <v>344</v>
      </c>
      <c r="J123" s="17"/>
    </row>
    <row r="124">
      <c r="A124" s="9" t="s">
        <v>383</v>
      </c>
      <c r="B124" s="9">
        <v>48.0</v>
      </c>
      <c r="C124" s="17"/>
      <c r="D124" s="47">
        <f t="shared" ref="D124:D125" si="3">B124/B126</f>
        <v>0.2742857143</v>
      </c>
      <c r="E124" s="47">
        <f>(B124+B125)/(B126+B127)</f>
        <v>0.3245901639</v>
      </c>
      <c r="F124" s="47">
        <f>SQRT(E124*(1-E124)*(1/B126 + 1/B127))</f>
        <v>0.05421389213</v>
      </c>
      <c r="G124" s="47">
        <f>(D124-D125)/F124</f>
        <v>-2.176969286</v>
      </c>
      <c r="H124" s="43">
        <f>_xlfn.NORM.S.INV(B128)</f>
        <v>-1.281551564</v>
      </c>
      <c r="I124" s="47">
        <f>_xlfn.NORM.S.DIST(G124)</f>
        <v>0.01474142959</v>
      </c>
      <c r="J124" s="17"/>
    </row>
    <row r="125">
      <c r="A125" s="9" t="s">
        <v>384</v>
      </c>
      <c r="B125" s="9">
        <v>51.0</v>
      </c>
      <c r="C125" s="17"/>
      <c r="D125" s="47">
        <f t="shared" si="3"/>
        <v>0.3923076923</v>
      </c>
      <c r="E125" s="47"/>
      <c r="F125" s="47"/>
      <c r="G125" s="17"/>
      <c r="H125" s="17"/>
      <c r="I125" s="17"/>
      <c r="J125" s="17"/>
    </row>
    <row r="126">
      <c r="A126" s="9" t="s">
        <v>387</v>
      </c>
      <c r="B126" s="9">
        <v>175.0</v>
      </c>
      <c r="C126" s="17"/>
      <c r="D126" s="17"/>
      <c r="E126" s="18" t="s">
        <v>356</v>
      </c>
      <c r="F126" s="18" t="s">
        <v>346</v>
      </c>
      <c r="G126" s="17"/>
      <c r="H126" s="17"/>
      <c r="I126" s="17"/>
      <c r="J126" s="17"/>
    </row>
    <row r="127">
      <c r="A127" s="9" t="s">
        <v>389</v>
      </c>
      <c r="B127" s="9">
        <v>130.0</v>
      </c>
      <c r="C127" s="17"/>
      <c r="D127" s="17"/>
      <c r="E127" s="39">
        <f>I124-B128</f>
        <v>-0.08525857041</v>
      </c>
      <c r="F127" s="5" t="str">
        <f>IF(E127&lt;=0, "Reject", "Fail to Reject")</f>
        <v>Reject</v>
      </c>
      <c r="G127" s="17"/>
      <c r="H127" s="17"/>
      <c r="I127" s="17"/>
      <c r="J127" s="17"/>
    </row>
    <row r="128">
      <c r="A128" s="9" t="s">
        <v>390</v>
      </c>
      <c r="B128" s="9">
        <v>0.1</v>
      </c>
      <c r="C128" s="17"/>
      <c r="D128" s="17"/>
      <c r="E128" s="17"/>
      <c r="F128" s="17"/>
      <c r="G128" s="17"/>
      <c r="H128" s="17"/>
      <c r="I128" s="17"/>
      <c r="J128" s="17"/>
    </row>
    <row r="129">
      <c r="A129" s="9"/>
      <c r="B129" s="9"/>
      <c r="C129" s="17"/>
      <c r="D129" s="17"/>
      <c r="E129" s="17"/>
      <c r="F129" s="17"/>
      <c r="G129" s="17"/>
      <c r="H129" s="17"/>
      <c r="I129" s="17"/>
      <c r="J129" s="17"/>
    </row>
    <row r="132">
      <c r="A132" s="7" t="s">
        <v>158</v>
      </c>
    </row>
    <row r="133">
      <c r="A133" s="9" t="s">
        <v>407</v>
      </c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A135" s="7" t="s">
        <v>35</v>
      </c>
      <c r="C135" s="17"/>
      <c r="D135" s="18" t="s">
        <v>404</v>
      </c>
      <c r="E135" s="18" t="s">
        <v>408</v>
      </c>
      <c r="F135" s="18" t="s">
        <v>406</v>
      </c>
      <c r="G135" s="18" t="s">
        <v>355</v>
      </c>
      <c r="H135" s="18" t="s">
        <v>271</v>
      </c>
      <c r="I135" s="17"/>
      <c r="J135" s="17"/>
    </row>
    <row r="136">
      <c r="A136" s="9" t="s">
        <v>383</v>
      </c>
      <c r="B136" s="9">
        <v>40.0</v>
      </c>
      <c r="C136" s="17"/>
      <c r="D136" s="47">
        <f t="shared" ref="D136:D137" si="4">B136/B138</f>
        <v>0.8</v>
      </c>
      <c r="E136" s="47">
        <f>D136-D137</f>
        <v>0.4</v>
      </c>
      <c r="F136" s="47">
        <f>SQRT((D136*(1-D136)/B138 + D137*(1-D137)/B139))</f>
        <v>0.0894427191</v>
      </c>
      <c r="G136" s="43">
        <f>_xlfn.NORM.S.INV(1-(1-B140)/2)</f>
        <v>2.575829306</v>
      </c>
      <c r="H136" s="43">
        <f>G136*F136</f>
        <v>0.2303891771</v>
      </c>
      <c r="I136" s="17"/>
      <c r="J136" s="17"/>
    </row>
    <row r="137">
      <c r="A137" s="9" t="s">
        <v>384</v>
      </c>
      <c r="B137" s="9">
        <v>20.0</v>
      </c>
      <c r="C137" s="17"/>
      <c r="D137" s="47">
        <f t="shared" si="4"/>
        <v>0.4</v>
      </c>
      <c r="E137" s="17"/>
      <c r="F137" s="17"/>
      <c r="G137" s="17"/>
      <c r="H137" s="17"/>
      <c r="I137" s="17"/>
      <c r="J137" s="17"/>
    </row>
    <row r="138">
      <c r="A138" s="9" t="s">
        <v>387</v>
      </c>
      <c r="B138" s="9">
        <v>50.0</v>
      </c>
      <c r="C138" s="17"/>
      <c r="D138" s="17"/>
      <c r="E138" s="17"/>
      <c r="F138" s="17"/>
      <c r="G138" s="17"/>
      <c r="H138" s="17"/>
      <c r="I138" s="17"/>
      <c r="J138" s="17"/>
    </row>
    <row r="139">
      <c r="A139" s="9" t="s">
        <v>389</v>
      </c>
      <c r="B139" s="9">
        <v>50.0</v>
      </c>
      <c r="C139" s="17"/>
      <c r="D139" s="17"/>
      <c r="E139" s="17"/>
      <c r="F139" s="18" t="s">
        <v>373</v>
      </c>
      <c r="G139" s="18" t="s">
        <v>374</v>
      </c>
      <c r="H139" s="17"/>
      <c r="I139" s="17"/>
      <c r="J139" s="17"/>
    </row>
    <row r="140">
      <c r="A140" s="9" t="s">
        <v>276</v>
      </c>
      <c r="B140" s="46">
        <v>0.99</v>
      </c>
      <c r="C140" s="17"/>
      <c r="D140" s="17"/>
      <c r="E140" s="17"/>
      <c r="F140" s="47">
        <f>E136-H136</f>
        <v>0.1696108229</v>
      </c>
      <c r="G140" s="47">
        <f>E136+H136</f>
        <v>0.6303891771</v>
      </c>
      <c r="H140" s="17"/>
      <c r="I140" s="17"/>
      <c r="J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</row>
    <row r="210">
      <c r="A210" s="53"/>
      <c r="B210" s="53"/>
      <c r="C210" s="53"/>
      <c r="D210" s="53"/>
    </row>
    <row r="211">
      <c r="A211" s="53"/>
      <c r="B211" s="53"/>
      <c r="C211" s="53"/>
      <c r="D211" s="53"/>
    </row>
    <row r="212">
      <c r="A212" s="53"/>
      <c r="B212" s="53"/>
      <c r="C212" s="53"/>
      <c r="D212" s="53"/>
    </row>
    <row r="213">
      <c r="A213" s="53"/>
      <c r="B213" s="53"/>
      <c r="C213" s="53"/>
      <c r="D213" s="53"/>
    </row>
    <row r="214">
      <c r="A214" s="53"/>
      <c r="B214" s="53"/>
      <c r="C214" s="53"/>
      <c r="D214" s="53"/>
    </row>
    <row r="215">
      <c r="A215" s="53"/>
      <c r="B215" s="53"/>
      <c r="C215" s="53"/>
      <c r="D215" s="53"/>
    </row>
    <row r="216">
      <c r="A216" s="53"/>
      <c r="B216" s="53"/>
      <c r="C216" s="53"/>
      <c r="D216" s="53"/>
    </row>
    <row r="217">
      <c r="A217" s="53"/>
      <c r="B217" s="53"/>
      <c r="C217" s="53"/>
      <c r="D217" s="53"/>
    </row>
    <row r="218">
      <c r="A218" s="53"/>
      <c r="B218" s="53"/>
      <c r="C218" s="53"/>
      <c r="D218" s="53"/>
    </row>
    <row r="219">
      <c r="A219" s="53"/>
      <c r="B219" s="53"/>
      <c r="C219" s="53"/>
      <c r="D219" s="53"/>
    </row>
    <row r="220">
      <c r="A220" s="53"/>
      <c r="B220" s="53"/>
      <c r="C220" s="53"/>
      <c r="D220" s="53"/>
    </row>
    <row r="221">
      <c r="A221" s="53"/>
      <c r="B221" s="53"/>
      <c r="C221" s="53"/>
      <c r="D221" s="53"/>
    </row>
    <row r="222">
      <c r="A222" s="53"/>
      <c r="B222" s="53"/>
      <c r="C222" s="53"/>
      <c r="D222" s="53"/>
    </row>
    <row r="223">
      <c r="A223" s="53"/>
      <c r="B223" s="53"/>
      <c r="C223" s="53"/>
      <c r="D223" s="53"/>
    </row>
    <row r="224">
      <c r="A224" s="53"/>
      <c r="B224" s="53"/>
      <c r="C224" s="53"/>
      <c r="D224" s="53"/>
    </row>
    <row r="225">
      <c r="A225" s="53"/>
      <c r="B225" s="53"/>
      <c r="C225" s="53"/>
      <c r="D225" s="53"/>
    </row>
    <row r="226">
      <c r="A226" s="53"/>
      <c r="B226" s="53"/>
      <c r="C226" s="53"/>
      <c r="D226" s="53"/>
    </row>
    <row r="227">
      <c r="A227" s="53"/>
      <c r="B227" s="53"/>
      <c r="C227" s="53"/>
      <c r="D227" s="53"/>
    </row>
    <row r="228">
      <c r="A228" s="53"/>
      <c r="B228" s="53"/>
      <c r="C228" s="53"/>
      <c r="D228" s="53"/>
    </row>
    <row r="229">
      <c r="A229" s="53"/>
      <c r="B229" s="53"/>
      <c r="C229" s="53"/>
      <c r="D229" s="53"/>
    </row>
    <row r="230">
      <c r="A230" s="53"/>
      <c r="B230" s="53"/>
      <c r="C230" s="53"/>
      <c r="D230" s="53"/>
    </row>
    <row r="280">
      <c r="H280" s="54"/>
      <c r="I280" s="54"/>
    </row>
    <row r="281">
      <c r="H281" s="54"/>
      <c r="I281" s="54"/>
    </row>
  </sheetData>
  <mergeCells count="66">
    <mergeCell ref="A45:J45"/>
    <mergeCell ref="A46:J46"/>
    <mergeCell ref="A50:B50"/>
    <mergeCell ref="A60:J60"/>
    <mergeCell ref="A61:J61"/>
    <mergeCell ref="A65:B65"/>
    <mergeCell ref="A74:J74"/>
    <mergeCell ref="A75:J75"/>
    <mergeCell ref="B77:C77"/>
    <mergeCell ref="A86:J86"/>
    <mergeCell ref="A87:J87"/>
    <mergeCell ref="A91:B91"/>
    <mergeCell ref="A101:J101"/>
    <mergeCell ref="A102:J102"/>
    <mergeCell ref="A133:J133"/>
    <mergeCell ref="A135:B135"/>
    <mergeCell ref="A106:B106"/>
    <mergeCell ref="A118:J118"/>
    <mergeCell ref="A119:J119"/>
    <mergeCell ref="A120:D120"/>
    <mergeCell ref="A121:D121"/>
    <mergeCell ref="A123:B123"/>
    <mergeCell ref="A132:J132"/>
    <mergeCell ref="A1:I2"/>
    <mergeCell ref="A4:I4"/>
    <mergeCell ref="A5:B5"/>
    <mergeCell ref="C5:I5"/>
    <mergeCell ref="A6:B6"/>
    <mergeCell ref="C6:I6"/>
    <mergeCell ref="C7:I7"/>
    <mergeCell ref="A14:B14"/>
    <mergeCell ref="A15:B15"/>
    <mergeCell ref="A16:B16"/>
    <mergeCell ref="A7:B7"/>
    <mergeCell ref="A8:B8"/>
    <mergeCell ref="A9:B9"/>
    <mergeCell ref="A10:B10"/>
    <mergeCell ref="A11:B11"/>
    <mergeCell ref="A12:B12"/>
    <mergeCell ref="A13:B13"/>
    <mergeCell ref="C8:I8"/>
    <mergeCell ref="C9:I9"/>
    <mergeCell ref="C10:I10"/>
    <mergeCell ref="C11:I11"/>
    <mergeCell ref="C12:I12"/>
    <mergeCell ref="C13:I13"/>
    <mergeCell ref="C14:I14"/>
    <mergeCell ref="A24:B24"/>
    <mergeCell ref="A25:B25"/>
    <mergeCell ref="A26:B26"/>
    <mergeCell ref="A27:B27"/>
    <mergeCell ref="A28:B28"/>
    <mergeCell ref="C15:I15"/>
    <mergeCell ref="C16:I16"/>
    <mergeCell ref="A19:I20"/>
    <mergeCell ref="A22:I22"/>
    <mergeCell ref="A23:B23"/>
    <mergeCell ref="C23:I23"/>
    <mergeCell ref="C24:I24"/>
    <mergeCell ref="C25:I25"/>
    <mergeCell ref="C26:I26"/>
    <mergeCell ref="C27:I27"/>
    <mergeCell ref="C28:I28"/>
    <mergeCell ref="A32:J33"/>
    <mergeCell ref="A35:J35"/>
    <mergeCell ref="A36:J36"/>
  </mergeCells>
  <conditionalFormatting sqref="H38:H41 I49 I52 F95 F111 F127">
    <cfRule type="colorScale" priority="1">
      <colorScale>
        <cfvo type="min"/>
        <cfvo type="max"/>
        <color rgb="FFFFFFFF"/>
        <color rgb="FF57BB8A"/>
      </colorScale>
    </cfRule>
  </conditionalFormatting>
  <conditionalFormatting sqref="G38:G41 H49 H52 E95 E111 E127">
    <cfRule type="cellIs" dxfId="0" priority="2" operator="lessThan">
      <formula>0</formula>
    </cfRule>
  </conditionalFormatting>
  <conditionalFormatting sqref="G38:G41 H49 H52 E95 E111 E127">
    <cfRule type="cellIs" dxfId="1" priority="3" operator="greaterThan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9" max="9" width="15.0"/>
  </cols>
  <sheetData>
    <row r="1">
      <c r="A1" s="55" t="s">
        <v>409</v>
      </c>
    </row>
    <row r="4">
      <c r="A4" s="4" t="s">
        <v>1</v>
      </c>
    </row>
    <row r="5">
      <c r="A5" s="14"/>
      <c r="B5" s="14"/>
      <c r="C5" s="14"/>
      <c r="D5" s="14"/>
      <c r="E5" s="14"/>
      <c r="F5" s="14"/>
      <c r="G5" s="14"/>
      <c r="H5" s="14"/>
    </row>
    <row r="6">
      <c r="A6" s="20" t="s">
        <v>410</v>
      </c>
      <c r="C6" s="20" t="s">
        <v>411</v>
      </c>
    </row>
    <row r="7">
      <c r="A7" s="20" t="s">
        <v>412</v>
      </c>
      <c r="C7" s="20" t="s">
        <v>413</v>
      </c>
    </row>
    <row r="8">
      <c r="A8" s="20" t="s">
        <v>414</v>
      </c>
      <c r="C8" s="20" t="s">
        <v>415</v>
      </c>
    </row>
    <row r="9">
      <c r="A9" s="20" t="s">
        <v>416</v>
      </c>
      <c r="C9" s="20" t="s">
        <v>417</v>
      </c>
    </row>
    <row r="10">
      <c r="A10" s="20" t="s">
        <v>418</v>
      </c>
      <c r="C10" s="20" t="s">
        <v>419</v>
      </c>
    </row>
    <row r="11">
      <c r="A11" s="20" t="s">
        <v>420</v>
      </c>
      <c r="C11" s="20" t="s">
        <v>421</v>
      </c>
    </row>
    <row r="12">
      <c r="A12" s="20" t="s">
        <v>422</v>
      </c>
      <c r="C12" s="20" t="s">
        <v>423</v>
      </c>
    </row>
    <row r="13">
      <c r="A13" s="20" t="s">
        <v>424</v>
      </c>
      <c r="C13" s="20" t="s">
        <v>425</v>
      </c>
    </row>
    <row r="14">
      <c r="A14" s="20" t="s">
        <v>426</v>
      </c>
      <c r="C14" s="20" t="s">
        <v>427</v>
      </c>
    </row>
    <row r="15">
      <c r="A15" s="20" t="s">
        <v>428</v>
      </c>
      <c r="C15" s="20" t="s">
        <v>429</v>
      </c>
    </row>
    <row r="16">
      <c r="A16" s="20" t="s">
        <v>430</v>
      </c>
      <c r="C16" s="20" t="s">
        <v>431</v>
      </c>
    </row>
    <row r="17">
      <c r="A17" s="20" t="s">
        <v>432</v>
      </c>
      <c r="C17" s="20" t="s">
        <v>433</v>
      </c>
    </row>
    <row r="18">
      <c r="A18" s="20" t="s">
        <v>434</v>
      </c>
      <c r="C18" s="20" t="s">
        <v>435</v>
      </c>
    </row>
    <row r="19">
      <c r="A19" s="20" t="s">
        <v>436</v>
      </c>
      <c r="C19" s="20" t="s">
        <v>437</v>
      </c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3">
      <c r="A23" s="12" t="s">
        <v>29</v>
      </c>
    </row>
    <row r="25">
      <c r="A25" s="3"/>
      <c r="B25" s="3"/>
      <c r="C25" s="3"/>
      <c r="D25" s="3"/>
      <c r="E25" s="3"/>
      <c r="F25" s="3"/>
      <c r="G25" s="3"/>
      <c r="H25" s="3"/>
    </row>
    <row r="26">
      <c r="A26" s="4" t="s">
        <v>30</v>
      </c>
    </row>
    <row r="27">
      <c r="A27" s="20" t="s">
        <v>438</v>
      </c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</row>
    <row r="29">
      <c r="A29" s="4" t="s">
        <v>35</v>
      </c>
      <c r="C29" s="23"/>
      <c r="D29" s="23"/>
      <c r="E29" s="23"/>
      <c r="F29" s="23"/>
      <c r="G29" s="23"/>
      <c r="H29" s="23"/>
      <c r="I29" s="23"/>
      <c r="J29" s="23"/>
    </row>
    <row r="30">
      <c r="A30" s="5" t="s">
        <v>207</v>
      </c>
      <c r="B30" s="5" t="s">
        <v>439</v>
      </c>
      <c r="C30" s="23"/>
      <c r="D30" s="38" t="s">
        <v>440</v>
      </c>
      <c r="E30" s="23"/>
      <c r="F30" s="23"/>
      <c r="G30" s="23"/>
      <c r="H30" s="23"/>
      <c r="I30" s="23"/>
      <c r="J30" s="23"/>
    </row>
    <row r="31">
      <c r="A31" s="5">
        <v>3.0</v>
      </c>
      <c r="B31" s="56">
        <v>5.0</v>
      </c>
      <c r="C31" s="23"/>
      <c r="D31" s="39">
        <f>CORREL(B31:B35,A31:A35)</f>
        <v>0.6030226892</v>
      </c>
      <c r="E31" s="23"/>
      <c r="F31" s="23"/>
      <c r="G31" s="23"/>
      <c r="H31" s="23"/>
      <c r="I31" s="23"/>
      <c r="J31" s="23"/>
    </row>
    <row r="32">
      <c r="A32" s="5">
        <v>7.0</v>
      </c>
      <c r="B32" s="56">
        <v>9.0</v>
      </c>
      <c r="C32" s="23"/>
      <c r="D32" s="23"/>
      <c r="E32" s="23"/>
      <c r="F32" s="23"/>
      <c r="G32" s="23"/>
      <c r="H32" s="23"/>
      <c r="I32" s="23"/>
      <c r="J32" s="23"/>
    </row>
    <row r="33">
      <c r="A33" s="5">
        <v>1.0</v>
      </c>
      <c r="B33" s="5">
        <v>4.0</v>
      </c>
      <c r="C33" s="23"/>
      <c r="D33" s="23"/>
      <c r="E33" s="23"/>
      <c r="F33" s="23"/>
      <c r="G33" s="23"/>
      <c r="H33" s="23"/>
      <c r="I33" s="23"/>
      <c r="J33" s="23"/>
    </row>
    <row r="34">
      <c r="A34" s="5">
        <v>7.0</v>
      </c>
      <c r="B34" s="5">
        <v>4.0</v>
      </c>
      <c r="C34" s="23"/>
      <c r="D34" s="23"/>
      <c r="E34" s="23"/>
      <c r="F34" s="23"/>
      <c r="G34" s="23"/>
      <c r="H34" s="23"/>
      <c r="I34" s="23"/>
      <c r="J34" s="23"/>
    </row>
    <row r="35">
      <c r="A35" s="5">
        <v>7.0</v>
      </c>
      <c r="B35" s="5">
        <v>8.0</v>
      </c>
      <c r="C35" s="23"/>
      <c r="D35" s="23"/>
      <c r="E35" s="23"/>
      <c r="F35" s="23"/>
      <c r="G35" s="23"/>
      <c r="H35" s="23"/>
      <c r="I35" s="23"/>
      <c r="J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</row>
    <row r="39">
      <c r="A39" s="4" t="s">
        <v>34</v>
      </c>
    </row>
    <row r="40">
      <c r="A40" s="20" t="s">
        <v>441</v>
      </c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</row>
    <row r="42">
      <c r="A42" s="4" t="s">
        <v>35</v>
      </c>
      <c r="C42" s="23"/>
      <c r="D42" s="38" t="s">
        <v>442</v>
      </c>
      <c r="E42" s="38" t="s">
        <v>443</v>
      </c>
      <c r="F42" s="38" t="s">
        <v>444</v>
      </c>
      <c r="G42" s="38" t="s">
        <v>445</v>
      </c>
      <c r="H42" s="23"/>
      <c r="I42" s="23"/>
      <c r="J42" s="23"/>
    </row>
    <row r="43">
      <c r="A43" s="5" t="s">
        <v>207</v>
      </c>
      <c r="B43" s="5" t="s">
        <v>439</v>
      </c>
      <c r="C43" s="23"/>
      <c r="D43" s="39">
        <f t="shared" ref="D43:D47" si="1">$D$50+$E$50*A44</f>
        <v>2.160714286</v>
      </c>
      <c r="E43" s="39">
        <f>AVERAGE(B44:B48)</f>
        <v>0.8</v>
      </c>
      <c r="F43" s="39">
        <f t="shared" ref="F43:F47" si="2">(B44-$E$43)^2</f>
        <v>1.44</v>
      </c>
      <c r="G43" s="39">
        <f t="shared" ref="G43:G47" si="3">(B44-D43)^2</f>
        <v>0.02582908163</v>
      </c>
      <c r="H43" s="23"/>
      <c r="I43" s="23"/>
      <c r="J43" s="23"/>
    </row>
    <row r="44">
      <c r="A44" s="20">
        <v>3.0</v>
      </c>
      <c r="B44" s="20">
        <v>2.0</v>
      </c>
      <c r="C44" s="23"/>
      <c r="D44" s="39">
        <f t="shared" si="1"/>
        <v>6.696428571</v>
      </c>
      <c r="E44" s="39"/>
      <c r="F44" s="39">
        <f t="shared" si="2"/>
        <v>38.44</v>
      </c>
      <c r="G44" s="39">
        <f t="shared" si="3"/>
        <v>0.09215561224</v>
      </c>
      <c r="H44" s="23"/>
      <c r="I44" s="23"/>
      <c r="J44" s="23"/>
    </row>
    <row r="45">
      <c r="A45" s="20">
        <v>5.0</v>
      </c>
      <c r="B45" s="20">
        <v>7.0</v>
      </c>
      <c r="C45" s="23"/>
      <c r="D45" s="39">
        <f t="shared" si="1"/>
        <v>-2.375</v>
      </c>
      <c r="E45" s="39"/>
      <c r="F45" s="39">
        <f t="shared" si="2"/>
        <v>7.84</v>
      </c>
      <c r="G45" s="39">
        <f t="shared" si="3"/>
        <v>0.140625</v>
      </c>
      <c r="H45" s="23"/>
      <c r="I45" s="23"/>
      <c r="J45" s="23"/>
    </row>
    <row r="46">
      <c r="A46" s="20">
        <v>1.0</v>
      </c>
      <c r="B46" s="20">
        <v>-2.0</v>
      </c>
      <c r="C46" s="23"/>
      <c r="D46" s="39">
        <f t="shared" si="1"/>
        <v>-2.375</v>
      </c>
      <c r="E46" s="39"/>
      <c r="F46" s="39">
        <f t="shared" si="2"/>
        <v>7.84</v>
      </c>
      <c r="G46" s="39">
        <f t="shared" si="3"/>
        <v>0.140625</v>
      </c>
      <c r="H46" s="23"/>
      <c r="I46" s="23"/>
      <c r="J46" s="23"/>
    </row>
    <row r="47">
      <c r="A47" s="20">
        <v>1.0</v>
      </c>
      <c r="B47" s="20">
        <v>-2.0</v>
      </c>
      <c r="C47" s="23"/>
      <c r="D47" s="39">
        <f t="shared" si="1"/>
        <v>-0.1071428571</v>
      </c>
      <c r="E47" s="39"/>
      <c r="F47" s="39">
        <f t="shared" si="2"/>
        <v>3.24</v>
      </c>
      <c r="G47" s="39">
        <f t="shared" si="3"/>
        <v>0.7971938776</v>
      </c>
      <c r="H47" s="23"/>
      <c r="I47" s="23"/>
      <c r="J47" s="23"/>
    </row>
    <row r="48">
      <c r="A48" s="20">
        <v>2.0</v>
      </c>
      <c r="B48" s="20">
        <v>-1.0</v>
      </c>
      <c r="C48" s="23"/>
      <c r="D48" s="23"/>
      <c r="E48" s="23"/>
      <c r="F48" s="23"/>
      <c r="G48" s="23"/>
      <c r="H48" s="23"/>
      <c r="I48" s="23"/>
      <c r="J48" s="23"/>
    </row>
    <row r="49">
      <c r="A49" s="23"/>
      <c r="B49" s="23"/>
      <c r="C49" s="23"/>
      <c r="D49" s="38" t="s">
        <v>446</v>
      </c>
      <c r="E49" s="38" t="s">
        <v>447</v>
      </c>
      <c r="F49" s="38" t="s">
        <v>448</v>
      </c>
      <c r="G49" s="38" t="s">
        <v>426</v>
      </c>
      <c r="H49" s="38" t="s">
        <v>428</v>
      </c>
      <c r="I49" s="23"/>
      <c r="J49" s="23"/>
    </row>
    <row r="50">
      <c r="A50" s="23"/>
      <c r="B50" s="23"/>
      <c r="C50" s="23"/>
      <c r="D50" s="42">
        <f>INTERCEPT(B44:B48,A44:A48)</f>
        <v>-4.642857143</v>
      </c>
      <c r="E50" s="42">
        <f>SLOPE(B44:B48, A44:A48)</f>
        <v>2.267857143</v>
      </c>
      <c r="F50" s="42">
        <f>SUM(F43:F47)</f>
        <v>58.8</v>
      </c>
      <c r="G50" s="42">
        <f>F50-H50</f>
        <v>57.60357143</v>
      </c>
      <c r="H50" s="42">
        <f>SUM(G43:G47)</f>
        <v>1.196428571</v>
      </c>
      <c r="I50" s="23"/>
      <c r="J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</row>
    <row r="54">
      <c r="A54" s="4" t="s">
        <v>112</v>
      </c>
    </row>
    <row r="55">
      <c r="A55" s="20" t="s">
        <v>441</v>
      </c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</row>
    <row r="57">
      <c r="A57" s="4" t="s">
        <v>35</v>
      </c>
      <c r="C57" s="23"/>
      <c r="D57" s="38" t="s">
        <v>442</v>
      </c>
      <c r="E57" s="38" t="s">
        <v>443</v>
      </c>
      <c r="F57" s="38" t="s">
        <v>444</v>
      </c>
      <c r="G57" s="38" t="s">
        <v>445</v>
      </c>
      <c r="H57" s="23"/>
      <c r="I57" s="23"/>
      <c r="J57" s="23"/>
    </row>
    <row r="58">
      <c r="A58" s="5" t="s">
        <v>207</v>
      </c>
      <c r="B58" s="5" t="s">
        <v>439</v>
      </c>
      <c r="C58" s="23"/>
      <c r="D58" s="39">
        <f t="shared" ref="D58:D61" si="4">$D$64+$E$64*A59</f>
        <v>1.670731707</v>
      </c>
      <c r="E58" s="39">
        <f>AVERAGE(B59:B62)</f>
        <v>7.5</v>
      </c>
      <c r="F58" s="39">
        <f t="shared" ref="F58:F61" si="5">(B59-$E$58)^2</f>
        <v>6.25</v>
      </c>
      <c r="G58" s="39">
        <f t="shared" ref="G58:G61" si="6">(B59-D58)^2</f>
        <v>69.37671029</v>
      </c>
      <c r="H58" s="23"/>
      <c r="I58" s="23"/>
      <c r="J58" s="23"/>
    </row>
    <row r="59">
      <c r="A59" s="20">
        <v>4.0</v>
      </c>
      <c r="B59" s="20">
        <v>10.0</v>
      </c>
      <c r="C59" s="23"/>
      <c r="D59" s="39">
        <f t="shared" si="4"/>
        <v>0.3170731707</v>
      </c>
      <c r="E59" s="39"/>
      <c r="F59" s="39">
        <f t="shared" si="5"/>
        <v>20.25</v>
      </c>
      <c r="G59" s="39">
        <f t="shared" si="6"/>
        <v>7.198096371</v>
      </c>
      <c r="H59" s="23"/>
      <c r="I59" s="23"/>
      <c r="J59" s="23"/>
    </row>
    <row r="60">
      <c r="A60" s="20">
        <v>1.0</v>
      </c>
      <c r="B60" s="20">
        <v>3.0</v>
      </c>
      <c r="C60" s="23"/>
      <c r="D60" s="39">
        <f t="shared" si="4"/>
        <v>1.219512195</v>
      </c>
      <c r="E60" s="39"/>
      <c r="F60" s="39">
        <f t="shared" si="5"/>
        <v>2.25</v>
      </c>
      <c r="G60" s="39">
        <f t="shared" si="6"/>
        <v>22.85306365</v>
      </c>
      <c r="H60" s="23"/>
      <c r="I60" s="23"/>
      <c r="J60" s="23"/>
    </row>
    <row r="61">
      <c r="A61" s="20">
        <v>3.0</v>
      </c>
      <c r="B61" s="20">
        <v>6.0</v>
      </c>
      <c r="C61" s="23"/>
      <c r="D61" s="39">
        <f t="shared" si="4"/>
        <v>2.12195122</v>
      </c>
      <c r="E61" s="39"/>
      <c r="F61" s="39">
        <f t="shared" si="5"/>
        <v>12.25</v>
      </c>
      <c r="G61" s="39">
        <f t="shared" si="6"/>
        <v>78.81975015</v>
      </c>
      <c r="H61" s="23"/>
      <c r="I61" s="23"/>
      <c r="J61" s="23"/>
    </row>
    <row r="62">
      <c r="A62" s="20">
        <v>5.0</v>
      </c>
      <c r="B62" s="20">
        <v>11.0</v>
      </c>
      <c r="C62" s="23"/>
      <c r="D62" s="39"/>
      <c r="E62" s="23"/>
      <c r="F62" s="23"/>
      <c r="G62" s="23"/>
      <c r="H62" s="23"/>
      <c r="I62" s="23"/>
      <c r="J62" s="23"/>
    </row>
    <row r="63">
      <c r="A63" s="23"/>
      <c r="B63" s="23"/>
      <c r="C63" s="23"/>
      <c r="D63" s="38" t="s">
        <v>446</v>
      </c>
      <c r="E63" s="38" t="s">
        <v>447</v>
      </c>
      <c r="F63" s="38" t="s">
        <v>448</v>
      </c>
      <c r="G63" s="38" t="s">
        <v>426</v>
      </c>
      <c r="H63" s="38" t="s">
        <v>428</v>
      </c>
      <c r="I63" s="38" t="s">
        <v>449</v>
      </c>
      <c r="J63" s="38" t="s">
        <v>450</v>
      </c>
    </row>
    <row r="64">
      <c r="A64" s="20" t="s">
        <v>277</v>
      </c>
      <c r="B64" s="20">
        <v>0.05</v>
      </c>
      <c r="C64" s="23"/>
      <c r="D64" s="42">
        <f>INTERCEPT(A59:A62,B59:B62)</f>
        <v>-0.1341463415</v>
      </c>
      <c r="E64" s="42">
        <f>SLOPE(A59:A62,B59:B62)</f>
        <v>0.4512195122</v>
      </c>
      <c r="F64" s="42">
        <f>DEVSQ(B59:B62)</f>
        <v>41</v>
      </c>
      <c r="G64" s="42">
        <f>F64-H64</f>
        <v>-137.2476205</v>
      </c>
      <c r="H64" s="42">
        <f>SUM(G58:G61)</f>
        <v>178.2476205</v>
      </c>
      <c r="I64" s="39">
        <f>RSQ(B59:B62,A59:A62)</f>
        <v>0.9540069686</v>
      </c>
      <c r="J64" s="40">
        <f>FINV(B64,1,2)</f>
        <v>18.51282051</v>
      </c>
    </row>
    <row r="65">
      <c r="A65" s="23"/>
      <c r="B65" s="23"/>
      <c r="C65" s="23"/>
      <c r="D65" s="23"/>
      <c r="E65" s="23"/>
      <c r="F65" s="23"/>
      <c r="G65" s="20"/>
      <c r="H65" s="23"/>
      <c r="I65" s="23"/>
      <c r="J65" s="23"/>
    </row>
    <row r="66">
      <c r="D66" s="22"/>
    </row>
    <row r="68">
      <c r="A68" s="4" t="s">
        <v>129</v>
      </c>
    </row>
    <row r="69">
      <c r="A69" s="20" t="s">
        <v>451</v>
      </c>
    </row>
    <row r="70">
      <c r="A70" s="20" t="s">
        <v>452</v>
      </c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</row>
    <row r="72">
      <c r="A72" s="4" t="s">
        <v>35</v>
      </c>
      <c r="C72" s="23"/>
      <c r="D72" s="23"/>
      <c r="E72" s="23"/>
      <c r="F72" s="23"/>
      <c r="G72" s="23"/>
      <c r="H72" s="23"/>
      <c r="I72" s="20" t="s">
        <v>420</v>
      </c>
      <c r="J72" s="20">
        <v>0.7</v>
      </c>
    </row>
    <row r="73">
      <c r="A73" s="5" t="s">
        <v>207</v>
      </c>
      <c r="B73" s="5" t="s">
        <v>439</v>
      </c>
      <c r="C73" s="23"/>
      <c r="D73" s="23"/>
      <c r="E73" s="38" t="s">
        <v>397</v>
      </c>
      <c r="F73" s="38" t="s">
        <v>398</v>
      </c>
      <c r="G73" s="23"/>
      <c r="H73" s="23"/>
      <c r="I73" s="20" t="s">
        <v>422</v>
      </c>
      <c r="J73" s="20">
        <v>1.4</v>
      </c>
    </row>
    <row r="74">
      <c r="A74" s="20">
        <v>3.0</v>
      </c>
      <c r="B74" s="20">
        <v>4.0</v>
      </c>
      <c r="C74" s="23"/>
      <c r="D74" s="23"/>
      <c r="E74" s="39">
        <v>1.0929289556627653</v>
      </c>
      <c r="F74" s="40">
        <f>_xlfn.T.INV.2T(J76,J77)</f>
        <v>3.182446305</v>
      </c>
      <c r="G74" s="23"/>
      <c r="H74" s="23"/>
      <c r="I74" s="20" t="s">
        <v>453</v>
      </c>
      <c r="J74" s="23">
        <f>AVERAGE(A74:A88)</f>
        <v>4</v>
      </c>
    </row>
    <row r="75">
      <c r="A75" s="20">
        <v>8.0</v>
      </c>
      <c r="B75" s="20">
        <v>7.0</v>
      </c>
      <c r="C75" s="23"/>
      <c r="D75" s="23"/>
      <c r="E75" s="23"/>
      <c r="F75" s="23"/>
      <c r="G75" s="23"/>
      <c r="H75" s="23"/>
      <c r="I75" s="20" t="s">
        <v>454</v>
      </c>
      <c r="J75" s="20">
        <v>5.0</v>
      </c>
    </row>
    <row r="76">
      <c r="A76" s="20">
        <v>3.0</v>
      </c>
      <c r="B76" s="20">
        <v>3.0</v>
      </c>
      <c r="C76" s="23"/>
      <c r="D76" s="23"/>
      <c r="E76" s="23"/>
      <c r="F76" s="23"/>
      <c r="G76" s="23"/>
      <c r="H76" s="23"/>
      <c r="I76" s="20" t="s">
        <v>277</v>
      </c>
      <c r="J76" s="20">
        <v>0.05</v>
      </c>
    </row>
    <row r="77">
      <c r="A77" s="20">
        <v>3.0</v>
      </c>
      <c r="B77" s="20">
        <v>6.0</v>
      </c>
      <c r="C77" s="23"/>
      <c r="D77" s="23"/>
      <c r="E77" s="23"/>
      <c r="F77" s="23"/>
      <c r="G77" s="23"/>
      <c r="H77" s="23"/>
      <c r="I77" s="20" t="s">
        <v>395</v>
      </c>
      <c r="J77" s="23">
        <f>COUNT(A74:A88)-2</f>
        <v>3</v>
      </c>
    </row>
    <row r="78">
      <c r="A78" s="20">
        <v>3.0</v>
      </c>
      <c r="B78" s="20">
        <v>1.0</v>
      </c>
      <c r="C78" s="23"/>
      <c r="D78" s="38" t="s">
        <v>444</v>
      </c>
      <c r="E78" s="38" t="s">
        <v>455</v>
      </c>
      <c r="F78" s="38" t="s">
        <v>456</v>
      </c>
      <c r="G78" s="23"/>
      <c r="H78" s="23"/>
      <c r="I78" s="20" t="s">
        <v>428</v>
      </c>
      <c r="J78" s="20">
        <v>13.0</v>
      </c>
    </row>
    <row r="79">
      <c r="A79" s="23"/>
      <c r="B79" s="23"/>
      <c r="C79" s="23"/>
      <c r="D79" s="23">
        <f>DEVSQ(A74:A88)</f>
        <v>20</v>
      </c>
      <c r="E79" s="23">
        <f>SQRT(J78/(J80-2))</f>
        <v>2.081665999</v>
      </c>
      <c r="F79" s="23">
        <f>F74*E79*SQRT(1/J80 + (J75-J74)^2/D79)</f>
        <v>3.312395134</v>
      </c>
      <c r="G79" s="23"/>
      <c r="H79" s="23"/>
      <c r="I79" s="20" t="s">
        <v>457</v>
      </c>
      <c r="J79" s="23">
        <f>J73+J72*J75</f>
        <v>4.9</v>
      </c>
    </row>
    <row r="80">
      <c r="A80" s="23"/>
      <c r="B80" s="23"/>
      <c r="C80" s="23"/>
      <c r="D80" s="23"/>
      <c r="E80" s="23"/>
      <c r="F80" s="23"/>
      <c r="G80" s="23"/>
      <c r="H80" s="23"/>
      <c r="I80" s="20" t="s">
        <v>36</v>
      </c>
      <c r="J80" s="23">
        <f>COUNT(A74:A87)</f>
        <v>5</v>
      </c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</row>
    <row r="83">
      <c r="A83" s="23"/>
      <c r="B83" s="23"/>
      <c r="C83" s="23"/>
      <c r="D83" s="23"/>
      <c r="E83" s="38" t="s">
        <v>373</v>
      </c>
      <c r="F83" s="38" t="s">
        <v>374</v>
      </c>
      <c r="G83" s="23"/>
      <c r="H83" s="23"/>
      <c r="I83" s="23"/>
      <c r="J83" s="23"/>
    </row>
    <row r="84">
      <c r="A84" s="23"/>
      <c r="B84" s="23"/>
      <c r="C84" s="23"/>
      <c r="D84" s="23"/>
      <c r="E84" s="39">
        <f>J79-F79</f>
        <v>1.587604866</v>
      </c>
      <c r="F84" s="39">
        <f>J79+F79</f>
        <v>8.212395134</v>
      </c>
      <c r="G84" s="23"/>
      <c r="H84" s="23"/>
      <c r="I84" s="23"/>
      <c r="J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</row>
    <row r="90">
      <c r="A90" s="4" t="s">
        <v>142</v>
      </c>
    </row>
    <row r="91">
      <c r="A91" s="20" t="s">
        <v>458</v>
      </c>
    </row>
    <row r="92">
      <c r="A92" s="23"/>
      <c r="B92" s="23"/>
      <c r="C92" s="23"/>
      <c r="D92" s="23"/>
      <c r="E92" s="23"/>
      <c r="F92" s="23"/>
      <c r="G92" s="23"/>
      <c r="H92" s="23"/>
      <c r="I92" s="4" t="s">
        <v>459</v>
      </c>
    </row>
    <row r="93">
      <c r="A93" s="4" t="s">
        <v>35</v>
      </c>
      <c r="C93" s="23"/>
      <c r="D93" s="38" t="s">
        <v>453</v>
      </c>
      <c r="E93" s="38" t="s">
        <v>460</v>
      </c>
      <c r="F93" s="38" t="s">
        <v>461</v>
      </c>
      <c r="G93" s="38" t="s">
        <v>462</v>
      </c>
      <c r="H93" s="23"/>
      <c r="I93" s="38" t="s">
        <v>420</v>
      </c>
      <c r="J93" s="20">
        <v>1.028</v>
      </c>
    </row>
    <row r="94">
      <c r="A94" s="5" t="s">
        <v>207</v>
      </c>
      <c r="B94" s="5" t="s">
        <v>439</v>
      </c>
      <c r="C94" s="23"/>
      <c r="D94" s="23">
        <f>AVERAGE(A95:A99)</f>
        <v>3.8</v>
      </c>
      <c r="E94" s="23">
        <f>DEVSQ(A95:A99)</f>
        <v>8.8</v>
      </c>
      <c r="F94" s="23">
        <f>SQRT(J95/(J98-2))/SQRT(E94)</f>
        <v>0.1491452922</v>
      </c>
      <c r="G94" s="23">
        <f>J93/F94</f>
        <v>6.892607771</v>
      </c>
      <c r="H94" s="23"/>
      <c r="I94" s="38" t="s">
        <v>422</v>
      </c>
      <c r="J94" s="20">
        <v>3.075</v>
      </c>
    </row>
    <row r="95">
      <c r="A95" s="20">
        <v>4.0</v>
      </c>
      <c r="B95" s="20">
        <v>3.0</v>
      </c>
      <c r="C95" s="23"/>
      <c r="D95" s="23"/>
      <c r="E95" s="23"/>
      <c r="F95" s="23"/>
      <c r="G95" s="23"/>
      <c r="H95" s="23"/>
      <c r="I95" s="38" t="s">
        <v>428</v>
      </c>
      <c r="J95" s="20">
        <v>0.783</v>
      </c>
    </row>
    <row r="96">
      <c r="A96" s="20">
        <v>3.0</v>
      </c>
      <c r="B96" s="20">
        <v>9.0</v>
      </c>
      <c r="C96" s="23"/>
      <c r="D96" s="23"/>
      <c r="E96" s="23"/>
      <c r="F96" s="23"/>
      <c r="G96" s="38" t="s">
        <v>463</v>
      </c>
      <c r="H96" s="23"/>
      <c r="I96" s="38" t="s">
        <v>277</v>
      </c>
      <c r="J96" s="20">
        <v>0.05</v>
      </c>
    </row>
    <row r="97">
      <c r="A97" s="20">
        <v>4.0</v>
      </c>
      <c r="B97" s="20">
        <v>7.0</v>
      </c>
      <c r="C97" s="23"/>
      <c r="D97" s="20"/>
      <c r="E97" s="20"/>
      <c r="F97" s="23"/>
      <c r="G97" s="39">
        <f>_xlfn.T.INV(J96, J98-2)</f>
        <v>-2.131846786</v>
      </c>
      <c r="H97" s="23"/>
      <c r="I97" s="23"/>
      <c r="J97" s="23"/>
    </row>
    <row r="98">
      <c r="A98" s="20">
        <v>2.0</v>
      </c>
      <c r="B98" s="20">
        <v>6.0</v>
      </c>
      <c r="C98" s="23"/>
      <c r="D98" s="23"/>
      <c r="E98" s="23"/>
      <c r="F98" s="23"/>
      <c r="G98" s="23"/>
      <c r="H98" s="23"/>
      <c r="I98" s="38" t="s">
        <v>36</v>
      </c>
      <c r="J98" s="23">
        <f>COUNT(A95:A106)</f>
        <v>6</v>
      </c>
    </row>
    <row r="99">
      <c r="A99" s="20">
        <v>6.0</v>
      </c>
      <c r="B99" s="20">
        <v>2.0</v>
      </c>
      <c r="C99" s="23"/>
      <c r="D99" s="23"/>
      <c r="E99" s="23"/>
      <c r="F99" s="23"/>
      <c r="G99" s="23"/>
      <c r="H99" s="23"/>
      <c r="I99" s="38" t="s">
        <v>395</v>
      </c>
      <c r="J99" s="23">
        <f>J98-2</f>
        <v>4</v>
      </c>
    </row>
    <row r="100">
      <c r="A100" s="20">
        <v>6.0</v>
      </c>
      <c r="B100" s="20">
        <v>5.0</v>
      </c>
      <c r="C100" s="23"/>
      <c r="D100" s="23"/>
      <c r="E100" s="23"/>
      <c r="F100" s="23"/>
      <c r="G100" s="23"/>
      <c r="H100" s="23"/>
      <c r="I100" s="23"/>
      <c r="J100" s="23"/>
    </row>
  </sheetData>
  <mergeCells count="48">
    <mergeCell ref="A1:H2"/>
    <mergeCell ref="A4:H4"/>
    <mergeCell ref="A6:B6"/>
    <mergeCell ref="C6:H6"/>
    <mergeCell ref="A7:B7"/>
    <mergeCell ref="C7:H7"/>
    <mergeCell ref="C8:H8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14:B14"/>
    <mergeCell ref="C9:H9"/>
    <mergeCell ref="C10:H10"/>
    <mergeCell ref="C11:H11"/>
    <mergeCell ref="C12:H12"/>
    <mergeCell ref="C13:H13"/>
    <mergeCell ref="C14:H14"/>
    <mergeCell ref="C15:H15"/>
    <mergeCell ref="C16:H16"/>
    <mergeCell ref="C17:H17"/>
    <mergeCell ref="C18:H18"/>
    <mergeCell ref="C19:H19"/>
    <mergeCell ref="A23:J24"/>
    <mergeCell ref="A26:J26"/>
    <mergeCell ref="A27:J27"/>
    <mergeCell ref="A29:B29"/>
    <mergeCell ref="A39:J39"/>
    <mergeCell ref="A40:J40"/>
    <mergeCell ref="A42:B42"/>
    <mergeCell ref="A54:J54"/>
    <mergeCell ref="A55:J55"/>
    <mergeCell ref="A57:B57"/>
    <mergeCell ref="A68:J68"/>
    <mergeCell ref="A69:J69"/>
    <mergeCell ref="A70:J70"/>
    <mergeCell ref="A72:B72"/>
    <mergeCell ref="A90:J90"/>
    <mergeCell ref="A91:J91"/>
    <mergeCell ref="I92:J92"/>
    <mergeCell ref="A93:B93"/>
  </mergeCells>
  <drawing r:id="rId1"/>
</worksheet>
</file>