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lg365-my.sharepoint.com/personal/a62181_ualg_pt/Documents/1 UNI STUFF/3y/sistemas paralelos e distribuidos/TP/TP2/docs/"/>
    </mc:Choice>
  </mc:AlternateContent>
  <xr:revisionPtr revIDLastSave="1142" documentId="13_ncr:40001_{8B2FFBFA-E063-42CA-B261-A8A5ED5D86B6}" xr6:coauthVersionLast="45" xr6:coauthVersionMax="45" xr10:uidLastSave="{D5B8C7DD-97B9-4DE4-8084-043F61BA7604}"/>
  <bookViews>
    <workbookView xWindow="-12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65" i="1" l="1"/>
  <c r="E264" i="1"/>
  <c r="E263" i="1"/>
  <c r="E262" i="1"/>
  <c r="E261" i="1"/>
  <c r="E260" i="1"/>
  <c r="E259" i="1"/>
  <c r="E258" i="1"/>
  <c r="E253" i="1"/>
  <c r="E252" i="1"/>
  <c r="E251" i="1"/>
  <c r="E250" i="1"/>
  <c r="E249" i="1"/>
  <c r="E248" i="1"/>
  <c r="E247" i="1"/>
  <c r="E246" i="1"/>
  <c r="E241" i="1"/>
  <c r="E240" i="1"/>
  <c r="E239" i="1"/>
  <c r="E238" i="1"/>
  <c r="E237" i="1"/>
  <c r="E236" i="1"/>
  <c r="E235" i="1"/>
  <c r="E234" i="1"/>
  <c r="E229" i="1"/>
  <c r="E228" i="1"/>
  <c r="E227" i="1"/>
  <c r="E226" i="1"/>
  <c r="E225" i="1"/>
  <c r="E224" i="1"/>
  <c r="E223" i="1"/>
  <c r="E222" i="1"/>
  <c r="E217" i="1"/>
  <c r="E216" i="1"/>
  <c r="E215" i="1"/>
  <c r="E214" i="1"/>
  <c r="E213" i="1"/>
  <c r="E212" i="1"/>
  <c r="E211" i="1"/>
  <c r="E210" i="1"/>
  <c r="E205" i="1"/>
  <c r="E204" i="1"/>
  <c r="E203" i="1"/>
  <c r="E202" i="1"/>
  <c r="E201" i="1"/>
  <c r="E200" i="1"/>
  <c r="E199" i="1"/>
  <c r="E198" i="1"/>
  <c r="E191" i="1"/>
  <c r="E190" i="1"/>
  <c r="E189" i="1"/>
  <c r="E188" i="1"/>
  <c r="E187" i="1"/>
  <c r="E186" i="1"/>
  <c r="E185" i="1"/>
  <c r="E184" i="1"/>
  <c r="E179" i="1"/>
  <c r="E178" i="1"/>
  <c r="E177" i="1"/>
  <c r="E176" i="1"/>
  <c r="E175" i="1"/>
  <c r="E174" i="1"/>
  <c r="E173" i="1"/>
  <c r="E172" i="1"/>
  <c r="E166" i="1"/>
  <c r="E165" i="1"/>
  <c r="E164" i="1"/>
  <c r="E163" i="1"/>
  <c r="E162" i="1"/>
  <c r="E161" i="1"/>
  <c r="E160" i="1"/>
  <c r="E159" i="1"/>
  <c r="E154" i="1"/>
  <c r="E153" i="1"/>
  <c r="E152" i="1"/>
  <c r="E151" i="1"/>
  <c r="E150" i="1"/>
  <c r="E149" i="1"/>
  <c r="E148" i="1"/>
  <c r="E147" i="1"/>
  <c r="E140" i="1"/>
  <c r="E142" i="1"/>
  <c r="E141" i="1"/>
  <c r="E139" i="1"/>
  <c r="E138" i="1"/>
  <c r="E137" i="1"/>
  <c r="E136" i="1"/>
  <c r="E135" i="1"/>
  <c r="E131" i="1"/>
  <c r="E130" i="1"/>
  <c r="E129" i="1"/>
  <c r="E128" i="1"/>
  <c r="E127" i="1"/>
  <c r="E126" i="1"/>
  <c r="E125" i="1"/>
  <c r="E124" i="1"/>
  <c r="G108" i="1" a="1"/>
  <c r="G108" i="1" s="1"/>
  <c r="G92" i="1" a="1"/>
  <c r="G92" i="1" s="1"/>
  <c r="H92" i="1" s="1"/>
  <c r="H86" i="1"/>
  <c r="H85" i="1"/>
  <c r="H84" i="1"/>
  <c r="H83" i="1"/>
  <c r="H82" i="1"/>
  <c r="H81" i="1"/>
  <c r="H80" i="1"/>
  <c r="H79" i="1"/>
  <c r="H78" i="1"/>
  <c r="H77" i="1"/>
  <c r="G77" i="1" a="1"/>
  <c r="G77" i="1" s="1"/>
  <c r="D229" i="1"/>
  <c r="C229" i="1"/>
  <c r="B229" i="1"/>
  <c r="C228" i="1"/>
  <c r="B228" i="1"/>
  <c r="D227" i="1"/>
  <c r="C227" i="1"/>
  <c r="B227" i="1"/>
  <c r="C226" i="1"/>
  <c r="B217" i="1"/>
  <c r="C217" i="1"/>
  <c r="D265" i="1"/>
  <c r="C265" i="1"/>
  <c r="B265" i="1"/>
  <c r="D264" i="1"/>
  <c r="C264" i="1"/>
  <c r="B264" i="1"/>
  <c r="D263" i="1"/>
  <c r="C251" i="1"/>
  <c r="C263" i="1"/>
  <c r="B263" i="1"/>
  <c r="C262" i="1"/>
  <c r="D253" i="1"/>
  <c r="C253" i="1"/>
  <c r="B253" i="1"/>
  <c r="C252" i="1"/>
  <c r="B252" i="1"/>
  <c r="B251" i="1"/>
  <c r="C250" i="1"/>
  <c r="B248" i="1"/>
  <c r="D241" i="1"/>
  <c r="C241" i="1"/>
  <c r="B241" i="1"/>
  <c r="C240" i="1"/>
  <c r="B240" i="1"/>
  <c r="C239" i="1"/>
  <c r="B239" i="1"/>
  <c r="C238" i="1"/>
  <c r="H117" i="1" l="1"/>
  <c r="H110" i="1"/>
  <c r="H114" i="1"/>
  <c r="H108" i="1"/>
  <c r="H115" i="1"/>
  <c r="H111" i="1"/>
  <c r="H113" i="1"/>
  <c r="H116" i="1"/>
  <c r="H112" i="1"/>
  <c r="H109" i="1"/>
  <c r="H97" i="1"/>
  <c r="H94" i="1"/>
  <c r="H96" i="1"/>
  <c r="H98" i="1"/>
  <c r="H99" i="1"/>
  <c r="H100" i="1"/>
  <c r="H95" i="1"/>
  <c r="H93" i="1"/>
  <c r="H101" i="1"/>
  <c r="D216" i="1"/>
  <c r="C216" i="1"/>
  <c r="B216" i="1"/>
  <c r="D215" i="1"/>
  <c r="C215" i="1"/>
  <c r="B215" i="1"/>
  <c r="C214" i="1"/>
  <c r="C205" i="1"/>
  <c r="B205" i="1"/>
  <c r="D204" i="1"/>
  <c r="C204" i="1"/>
  <c r="B204" i="1"/>
  <c r="C203" i="1"/>
  <c r="B203" i="1"/>
  <c r="C202" i="1"/>
  <c r="B202" i="1"/>
  <c r="C191" i="1"/>
  <c r="B191" i="1"/>
  <c r="D190" i="1"/>
  <c r="C190" i="1"/>
  <c r="B190" i="1"/>
  <c r="D189" i="1"/>
  <c r="C189" i="1"/>
  <c r="B189" i="1"/>
  <c r="C188" i="1"/>
  <c r="C187" i="1"/>
  <c r="D179" i="1"/>
  <c r="C179" i="1"/>
  <c r="B179" i="1"/>
  <c r="D178" i="1"/>
  <c r="C178" i="1"/>
  <c r="B178" i="1"/>
  <c r="C177" i="1"/>
  <c r="B177" i="1"/>
  <c r="C176" i="1"/>
  <c r="C175" i="1"/>
  <c r="C173" i="1"/>
  <c r="C166" i="1"/>
  <c r="B166" i="1"/>
  <c r="C165" i="1"/>
  <c r="B165" i="1"/>
  <c r="C164" i="1"/>
  <c r="B164" i="1"/>
  <c r="C163" i="1"/>
  <c r="B163" i="1"/>
  <c r="C162" i="1"/>
  <c r="D154" i="1"/>
  <c r="C154" i="1"/>
  <c r="B154" i="1"/>
  <c r="C153" i="1"/>
  <c r="B153" i="1"/>
  <c r="D152" i="1"/>
  <c r="C152" i="1"/>
  <c r="B152" i="1"/>
  <c r="C151" i="1"/>
  <c r="B151" i="1"/>
  <c r="D150" i="1"/>
  <c r="C150" i="1"/>
  <c r="D142" i="1"/>
  <c r="C142" i="1"/>
  <c r="B142" i="1"/>
  <c r="C141" i="1"/>
  <c r="B141" i="1"/>
  <c r="C140" i="1"/>
  <c r="B140" i="1"/>
  <c r="C139" i="1"/>
  <c r="B139" i="1"/>
  <c r="C138" i="1"/>
  <c r="D131" i="1"/>
  <c r="C131" i="1"/>
  <c r="B131" i="1"/>
  <c r="C130" i="1"/>
  <c r="B130" i="1"/>
  <c r="C129" i="1"/>
  <c r="B129" i="1"/>
  <c r="C1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<sst xmlns="http://schemas.openxmlformats.org/spreadsheetml/2006/main" count="156" uniqueCount="27">
  <si>
    <t>input</t>
  </si>
  <si>
    <t>Servidor UALG</t>
  </si>
  <si>
    <t>Potências de 10</t>
  </si>
  <si>
    <t>real</t>
  </si>
  <si>
    <t>user</t>
  </si>
  <si>
    <t>system</t>
  </si>
  <si>
    <t>Sequencial com otimização</t>
  </si>
  <si>
    <t>N/A</t>
  </si>
  <si>
    <t>Sequencial sem otimização</t>
  </si>
  <si>
    <t>Implementação 2 threads</t>
  </si>
  <si>
    <t>Implementação 3 threads</t>
  </si>
  <si>
    <t>Implementação N threads 4 threads</t>
  </si>
  <si>
    <t>Implementação N threads 4 threads com mutexes</t>
  </si>
  <si>
    <t>Implementação OpenMP 8 threads</t>
  </si>
  <si>
    <t>Implementação OpenMP 4 threads</t>
  </si>
  <si>
    <t>LONG INPUTS</t>
  </si>
  <si>
    <t>Meu computador</t>
  </si>
  <si>
    <t>OPEN_MP 4 Threads</t>
  </si>
  <si>
    <t>OPEN_MP 8 Threads</t>
  </si>
  <si>
    <t>OPEN_MP 16 Threads</t>
  </si>
  <si>
    <t>OPEN_MP 32 Threads</t>
  </si>
  <si>
    <t>OPEN_MP 64 Threads</t>
  </si>
  <si>
    <t>OPEN_MP 128 Threads</t>
  </si>
  <si>
    <t>FCT UALG</t>
  </si>
  <si>
    <t>Aceleração</t>
  </si>
  <si>
    <t>Eficiência</t>
  </si>
  <si>
    <t>user/real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</si>
</sst>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sequencial sem otimização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Folha1!$A$6:$A$15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Folha1!$B$6:$B$15</c:f>
              <c:numCache>
                <c:formatCode>0.00E+00</c:formatCode>
                <c:ptCount val="10"/>
                <c:pt idx="0">
                  <c:v>1.0999999999999999E-2</c:v>
                </c:pt>
                <c:pt idx="1">
                  <c:v>7.0000000000000001E-3</c:v>
                </c:pt>
                <c:pt idx="2">
                  <c:v>0.01</c:v>
                </c:pt>
                <c:pt idx="3">
                  <c:v>1.0999999999999999E-2</c:v>
                </c:pt>
                <c:pt idx="4">
                  <c:v>1.0999999999999999E-2</c:v>
                </c:pt>
                <c:pt idx="5">
                  <c:v>1.4999999999999999E-2</c:v>
                </c:pt>
                <c:pt idx="6">
                  <c:v>2.4E-2</c:v>
                </c:pt>
                <c:pt idx="7">
                  <c:v>7.4999999999999997E-2</c:v>
                </c:pt>
                <c:pt idx="8">
                  <c:v>0.32200000000000001</c:v>
                </c:pt>
                <c:pt idx="9">
                  <c:v>0.36199999999999999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62-4E3B-A6D5-F986CE2EEC0E}"/>
            </c:ext>
          </c:extLst>
        </c:ser>
        <c:ser>
          <c:idx val="1"/>
          <c:order val="1"/>
          <c:tx>
            <c:v>sequencial com otimização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Folha1!$A$20:$A$29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Folha1!$B$20:$B$29</c:f>
              <c:numCache>
                <c:formatCode>0.00E+00</c:formatCode>
                <c:ptCount val="10"/>
                <c:pt idx="0">
                  <c:v>1.4E-2</c:v>
                </c:pt>
                <c:pt idx="1">
                  <c:v>1.0999999999999999E-2</c:v>
                </c:pt>
                <c:pt idx="2">
                  <c:v>8.9999999999999993E-3</c:v>
                </c:pt>
                <c:pt idx="3">
                  <c:v>1.2999999999999999E-2</c:v>
                </c:pt>
                <c:pt idx="4">
                  <c:v>1.2E-2</c:v>
                </c:pt>
                <c:pt idx="5">
                  <c:v>1.2E-2</c:v>
                </c:pt>
                <c:pt idx="6">
                  <c:v>2.4E-2</c:v>
                </c:pt>
                <c:pt idx="7">
                  <c:v>8.7999999999999995E-2</c:v>
                </c:pt>
                <c:pt idx="8">
                  <c:v>0.32800000000000001</c:v>
                </c:pt>
                <c:pt idx="9">
                  <c:v>0.442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62-4E3B-A6D5-F986CE2EEC0E}"/>
            </c:ext>
          </c:extLst>
        </c:ser>
        <c:ser>
          <c:idx val="2"/>
          <c:order val="2"/>
          <c:tx>
            <c:v>2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Folha1!$A$35:$A$44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Folha1!$B$35:$B$44</c:f>
              <c:numCache>
                <c:formatCode>0.00E+00</c:formatCode>
                <c:ptCount val="10"/>
                <c:pt idx="0">
                  <c:v>1.0999999999999999E-2</c:v>
                </c:pt>
                <c:pt idx="1">
                  <c:v>8.9999999999999993E-3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0.01</c:v>
                </c:pt>
                <c:pt idx="5">
                  <c:v>1.7000000000000001E-2</c:v>
                </c:pt>
                <c:pt idx="6">
                  <c:v>2.5000000000000001E-2</c:v>
                </c:pt>
                <c:pt idx="7">
                  <c:v>7.0000000000000007E-2</c:v>
                </c:pt>
                <c:pt idx="8">
                  <c:v>3.4500000000000003E-2</c:v>
                </c:pt>
                <c:pt idx="9">
                  <c:v>0.45300000000000001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62-4E3B-A6D5-F986CE2EEC0E}"/>
            </c:ext>
          </c:extLst>
        </c:ser>
        <c:ser>
          <c:idx val="3"/>
          <c:order val="3"/>
          <c:tx>
            <c:v>3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Folha1!$A$49:$A$58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Folha1!$B$49:$B$58</c:f>
              <c:numCache>
                <c:formatCode>0.00E+00</c:formatCode>
                <c:ptCount val="10"/>
                <c:pt idx="0">
                  <c:v>8.9999999999999993E-3</c:v>
                </c:pt>
                <c:pt idx="1">
                  <c:v>8.0000000000000002E-3</c:v>
                </c:pt>
                <c:pt idx="2">
                  <c:v>8.0000000000000002E-3</c:v>
                </c:pt>
                <c:pt idx="3">
                  <c:v>1.0999999999999999E-2</c:v>
                </c:pt>
                <c:pt idx="4">
                  <c:v>1.0999999999999999E-2</c:v>
                </c:pt>
                <c:pt idx="5">
                  <c:v>1.6E-2</c:v>
                </c:pt>
                <c:pt idx="6">
                  <c:v>3.1E-2</c:v>
                </c:pt>
                <c:pt idx="7">
                  <c:v>7.5999999999999998E-2</c:v>
                </c:pt>
                <c:pt idx="8">
                  <c:v>0.32100000000000001</c:v>
                </c:pt>
                <c:pt idx="9">
                  <c:v>0.35799999999999998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B62-4E3B-A6D5-F986CE2EEC0E}"/>
            </c:ext>
          </c:extLst>
        </c:ser>
        <c:ser>
          <c:idx val="4"/>
          <c:order val="4"/>
          <c:tx>
            <c:v>N threads 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Folha1!$A$63:$A$72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Folha1!$B$63:$B$72</c:f>
              <c:numCache>
                <c:formatCode>0.00E+00</c:formatCode>
                <c:ptCount val="10"/>
                <c:pt idx="0">
                  <c:v>0.04</c:v>
                </c:pt>
                <c:pt idx="1">
                  <c:v>1.0999999999999999E-2</c:v>
                </c:pt>
                <c:pt idx="2">
                  <c:v>1.0999999999999999E-2</c:v>
                </c:pt>
                <c:pt idx="3">
                  <c:v>0.01</c:v>
                </c:pt>
                <c:pt idx="4">
                  <c:v>1.7000000000000001E-2</c:v>
                </c:pt>
                <c:pt idx="5">
                  <c:v>1.7000000000000001E-2</c:v>
                </c:pt>
                <c:pt idx="6">
                  <c:v>0.03</c:v>
                </c:pt>
                <c:pt idx="7">
                  <c:v>6.3E-2</c:v>
                </c:pt>
                <c:pt idx="8">
                  <c:v>0.20399999999999999</c:v>
                </c:pt>
                <c:pt idx="9">
                  <c:v>0.23499999999999999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62-4E3B-A6D5-F986CE2EEC0E}"/>
            </c:ext>
          </c:extLst>
        </c:ser>
        <c:ser>
          <c:idx val="5"/>
          <c:order val="5"/>
          <c:tx>
            <c:v>N threads 4 threads com mutexes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Folha1!$A$77:$A$86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Folha1!$B$77:$B$86</c:f>
              <c:numCache>
                <c:formatCode>0.00E+00</c:formatCode>
                <c:ptCount val="10"/>
                <c:pt idx="0">
                  <c:v>1.2999999999999999E-2</c:v>
                </c:pt>
                <c:pt idx="1">
                  <c:v>8.9999999999999993E-3</c:v>
                </c:pt>
                <c:pt idx="2">
                  <c:v>0.01</c:v>
                </c:pt>
                <c:pt idx="3">
                  <c:v>0.01</c:v>
                </c:pt>
                <c:pt idx="4">
                  <c:v>1.2E-2</c:v>
                </c:pt>
                <c:pt idx="5">
                  <c:v>1.0999999999999999E-2</c:v>
                </c:pt>
                <c:pt idx="6">
                  <c:v>1.4999999999999999E-2</c:v>
                </c:pt>
                <c:pt idx="7">
                  <c:v>3.5999999999999997E-2</c:v>
                </c:pt>
                <c:pt idx="8">
                  <c:v>6.3E-2</c:v>
                </c:pt>
                <c:pt idx="9">
                  <c:v>0.14099999999999999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62-4E3B-A6D5-F986CE2EEC0E}"/>
            </c:ext>
          </c:extLst>
        </c:ser>
        <c:ser>
          <c:idx val="6"/>
          <c:order val="6"/>
          <c:tx>
            <c:v>OpenMP 8 threads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Folha1!$A$92:$A$101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Folha1!$B$92:$B$101</c:f>
              <c:numCache>
                <c:formatCode>0.00E+00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1.6E-2</c:v>
                </c:pt>
                <c:pt idx="7">
                  <c:v>2.7E-2</c:v>
                </c:pt>
                <c:pt idx="8">
                  <c:v>5.6000000000000001E-2</c:v>
                </c:pt>
                <c:pt idx="9">
                  <c:v>0.108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B62-4E3B-A6D5-F986CE2EEC0E}"/>
            </c:ext>
          </c:extLst>
        </c:ser>
        <c:ser>
          <c:idx val="7"/>
          <c:order val="7"/>
          <c:tx>
            <c:v>OpenMP 4 threads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Folha1!$A$92:$A$101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Folha1!$B$92:$B$101</c:f>
              <c:numCache>
                <c:formatCode>0.00E+00</c:formatCode>
                <c:ptCount val="1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1.6E-2</c:v>
                </c:pt>
                <c:pt idx="7">
                  <c:v>2.7E-2</c:v>
                </c:pt>
                <c:pt idx="8">
                  <c:v>5.6000000000000001E-2</c:v>
                </c:pt>
                <c:pt idx="9">
                  <c:v>0.108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B62-4E3B-A6D5-F986CE2EEC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0090111"/>
        <c:axId val="1556923263"/>
      </c:scatterChart>
      <c:valAx>
        <c:axId val="190009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923263"/>
        <c:crosses val="autoZero"/>
        <c:crossBetween val="midCat"/>
      </c:valAx>
      <c:valAx>
        <c:axId val="155692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009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MEU</a:t>
            </a:r>
            <a:r>
              <a:rPr lang="en-GB" baseline="0"/>
              <a:t> PC - 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74521736247501"/>
          <c:y val="0.12965882077586621"/>
          <c:w val="0.73474306987497695"/>
          <c:h val="0.76472587681956505"/>
        </c:manualLayout>
      </c:layout>
      <c:scatterChart>
        <c:scatterStyle val="smoothMarker"/>
        <c:varyColors val="0"/>
        <c:ser>
          <c:idx val="0"/>
          <c:order val="0"/>
          <c:tx>
            <c:v>OPM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Folha1!$A$124:$A$131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Folha1!$B$124:$B$131</c:f>
              <c:numCache>
                <c:formatCode>General</c:formatCode>
                <c:ptCount val="8"/>
                <c:pt idx="0">
                  <c:v>0.44</c:v>
                </c:pt>
                <c:pt idx="1">
                  <c:v>1.488</c:v>
                </c:pt>
                <c:pt idx="2">
                  <c:v>4.5759999999999996</c:v>
                </c:pt>
                <c:pt idx="3">
                  <c:v>13.676</c:v>
                </c:pt>
                <c:pt idx="4">
                  <c:v>40.49</c:v>
                </c:pt>
                <c:pt idx="5">
                  <c:v>157.78700000000001</c:v>
                </c:pt>
                <c:pt idx="6">
                  <c:v>309.69900000000001</c:v>
                </c:pt>
                <c:pt idx="7">
                  <c:v>1347.9670000000001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8EF-4F24-9CC5-8B727631D39A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Folha1!$A$135:$A$142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Folha1!$B$135:$B$142</c:f>
              <c:numCache>
                <c:formatCode>General</c:formatCode>
                <c:ptCount val="8"/>
                <c:pt idx="0">
                  <c:v>0.28299999999999997</c:v>
                </c:pt>
                <c:pt idx="1">
                  <c:v>1.0309999999999999</c:v>
                </c:pt>
                <c:pt idx="2">
                  <c:v>3.1640000000000001</c:v>
                </c:pt>
                <c:pt idx="3">
                  <c:v>8.8089999999999993</c:v>
                </c:pt>
                <c:pt idx="4">
                  <c:v>26.271999999999998</c:v>
                </c:pt>
                <c:pt idx="5">
                  <c:v>98.430999999999997</c:v>
                </c:pt>
                <c:pt idx="6">
                  <c:v>252.232</c:v>
                </c:pt>
                <c:pt idx="7">
                  <c:v>954.51700000000005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EF-4F24-9CC5-8B727631D39A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Folha1!$A$147:$A$154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Folha1!$B$147:$B$154</c:f>
              <c:numCache>
                <c:formatCode>General</c:formatCode>
                <c:ptCount val="8"/>
                <c:pt idx="0">
                  <c:v>0.27700000000000002</c:v>
                </c:pt>
                <c:pt idx="1">
                  <c:v>0.92500000000000004</c:v>
                </c:pt>
                <c:pt idx="2">
                  <c:v>3.1789999999999998</c:v>
                </c:pt>
                <c:pt idx="3">
                  <c:v>8.7710000000000008</c:v>
                </c:pt>
                <c:pt idx="4">
                  <c:v>26.867000000000001</c:v>
                </c:pt>
                <c:pt idx="5">
                  <c:v>98.13900000000001</c:v>
                </c:pt>
                <c:pt idx="6">
                  <c:v>313.46300000000002</c:v>
                </c:pt>
                <c:pt idx="7">
                  <c:v>936.47299999999996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EF-4F24-9CC5-8B727631D39A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Folha1!$A$159:$A$166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Folha1!$B$159:$B$166</c:f>
              <c:numCache>
                <c:formatCode>General</c:formatCode>
                <c:ptCount val="8"/>
                <c:pt idx="0">
                  <c:v>0.29199999999999998</c:v>
                </c:pt>
                <c:pt idx="1">
                  <c:v>0.92900000000000005</c:v>
                </c:pt>
                <c:pt idx="2">
                  <c:v>3.0219999999999998</c:v>
                </c:pt>
                <c:pt idx="3">
                  <c:v>8.5210000000000008</c:v>
                </c:pt>
                <c:pt idx="4">
                  <c:v>26.423999999999999</c:v>
                </c:pt>
                <c:pt idx="5">
                  <c:v>97.492999999999995</c:v>
                </c:pt>
                <c:pt idx="6">
                  <c:v>311.46699999999998</c:v>
                </c:pt>
                <c:pt idx="7">
                  <c:v>780.68499999999995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48EF-4F24-9CC5-8B727631D39A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Folha1!$A$172:$A$179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Folha1!$B$172:$B$179</c:f>
              <c:numCache>
                <c:formatCode>General</c:formatCode>
                <c:ptCount val="8"/>
                <c:pt idx="0">
                  <c:v>0.312</c:v>
                </c:pt>
                <c:pt idx="1">
                  <c:v>1.028</c:v>
                </c:pt>
                <c:pt idx="2">
                  <c:v>3.18</c:v>
                </c:pt>
                <c:pt idx="3">
                  <c:v>8.5980000000000008</c:v>
                </c:pt>
                <c:pt idx="4">
                  <c:v>26.736000000000001</c:v>
                </c:pt>
                <c:pt idx="5">
                  <c:v>95.704000000000008</c:v>
                </c:pt>
                <c:pt idx="6">
                  <c:v>301.95999999999998</c:v>
                </c:pt>
                <c:pt idx="7">
                  <c:v>894.94500000000005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48EF-4F24-9CC5-8B727631D39A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Folha1!$A$184:$A$191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Folha1!$B$184:$B$191</c:f>
              <c:numCache>
                <c:formatCode>General</c:formatCode>
                <c:ptCount val="8"/>
                <c:pt idx="0">
                  <c:v>0.27200000000000002</c:v>
                </c:pt>
                <c:pt idx="1">
                  <c:v>0.85799999999999998</c:v>
                </c:pt>
                <c:pt idx="2">
                  <c:v>3.0350000000000001</c:v>
                </c:pt>
                <c:pt idx="3">
                  <c:v>7.9870000000000001</c:v>
                </c:pt>
                <c:pt idx="4">
                  <c:v>24.951000000000001</c:v>
                </c:pt>
                <c:pt idx="5">
                  <c:v>92.853999999999999</c:v>
                </c:pt>
                <c:pt idx="6">
                  <c:v>301.71699999999998</c:v>
                </c:pt>
                <c:pt idx="7">
                  <c:v>893.39400000000001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48EF-4F24-9CC5-8B727631D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098480"/>
        <c:axId val="1497677232"/>
      </c:scatterChart>
      <c:valAx>
        <c:axId val="149209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677232"/>
        <c:crosses val="autoZero"/>
        <c:crossBetween val="midCat"/>
      </c:valAx>
      <c:valAx>
        <c:axId val="14976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98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FCT UALG - </a:t>
            </a:r>
            <a:r>
              <a:rPr lang="en-GB" sz="1400" b="0" i="0" u="none" strike="noStrike" baseline="0">
                <a:effectLst/>
              </a:rPr>
              <a:t>Execução da função factorial 100x com N threads para Longs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OMP 4 Threads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Folha1!$A$198:$A$205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Folha1!$B$198:$B$205</c:f>
              <c:numCache>
                <c:formatCode>General</c:formatCode>
                <c:ptCount val="8"/>
                <c:pt idx="0">
                  <c:v>0.33</c:v>
                </c:pt>
                <c:pt idx="1">
                  <c:v>1.04</c:v>
                </c:pt>
                <c:pt idx="2">
                  <c:v>3.573</c:v>
                </c:pt>
                <c:pt idx="3">
                  <c:v>13.641999999999999</c:v>
                </c:pt>
                <c:pt idx="4">
                  <c:v>78.420999999999992</c:v>
                </c:pt>
                <c:pt idx="5">
                  <c:v>222.60399999999998</c:v>
                </c:pt>
                <c:pt idx="6">
                  <c:v>644.30499999999995</c:v>
                </c:pt>
                <c:pt idx="7">
                  <c:v>1225.6179999999999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EC-46F2-910B-1BDA893E43CB}"/>
            </c:ext>
          </c:extLst>
        </c:ser>
        <c:ser>
          <c:idx val="1"/>
          <c:order val="1"/>
          <c:tx>
            <c:v>OMP 8 Threads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Folha1!$A$210:$A$217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Folha1!$B$210:$B$217</c:f>
              <c:numCache>
                <c:formatCode>General</c:formatCode>
                <c:ptCount val="8"/>
                <c:pt idx="0">
                  <c:v>0.35199999999999998</c:v>
                </c:pt>
                <c:pt idx="1">
                  <c:v>1.042</c:v>
                </c:pt>
                <c:pt idx="2">
                  <c:v>3.7650000000000001</c:v>
                </c:pt>
                <c:pt idx="3">
                  <c:v>11.256</c:v>
                </c:pt>
                <c:pt idx="4">
                  <c:v>35.274999999999999</c:v>
                </c:pt>
                <c:pt idx="5">
                  <c:v>148.13499999999999</c:v>
                </c:pt>
                <c:pt idx="6">
                  <c:v>459.255</c:v>
                </c:pt>
                <c:pt idx="7">
                  <c:v>1207.721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EC-46F2-910B-1BDA893E43CB}"/>
            </c:ext>
          </c:extLst>
        </c:ser>
        <c:ser>
          <c:idx val="2"/>
          <c:order val="2"/>
          <c:tx>
            <c:v>OMP 16 Threads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Folha1!$A$222:$A$229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Folha1!$B$222:$B$229</c:f>
              <c:numCache>
                <c:formatCode>General</c:formatCode>
                <c:ptCount val="8"/>
                <c:pt idx="0">
                  <c:v>0.375</c:v>
                </c:pt>
                <c:pt idx="1">
                  <c:v>1.0449999999999999</c:v>
                </c:pt>
                <c:pt idx="2">
                  <c:v>3.7530000000000001</c:v>
                </c:pt>
                <c:pt idx="3">
                  <c:v>10.996</c:v>
                </c:pt>
                <c:pt idx="4">
                  <c:v>35.005000000000003</c:v>
                </c:pt>
                <c:pt idx="5">
                  <c:v>147.26</c:v>
                </c:pt>
                <c:pt idx="6">
                  <c:v>457.43700000000001</c:v>
                </c:pt>
                <c:pt idx="7">
                  <c:v>1211.577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EEC-46F2-910B-1BDA893E43CB}"/>
            </c:ext>
          </c:extLst>
        </c:ser>
        <c:ser>
          <c:idx val="3"/>
          <c:order val="3"/>
          <c:tx>
            <c:v>OMP 32 Threads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Folha1!$A$234:$A$241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Folha1!$B$234:$B$241</c:f>
              <c:numCache>
                <c:formatCode>General</c:formatCode>
                <c:ptCount val="8"/>
                <c:pt idx="0">
                  <c:v>0.41</c:v>
                </c:pt>
                <c:pt idx="1">
                  <c:v>1.25</c:v>
                </c:pt>
                <c:pt idx="2">
                  <c:v>3.8639999999999999</c:v>
                </c:pt>
                <c:pt idx="3">
                  <c:v>11.346</c:v>
                </c:pt>
                <c:pt idx="4">
                  <c:v>35.670999999999999</c:v>
                </c:pt>
                <c:pt idx="5">
                  <c:v>151.74</c:v>
                </c:pt>
                <c:pt idx="6">
                  <c:v>474.65600000000001</c:v>
                </c:pt>
                <c:pt idx="7">
                  <c:v>1237.1759999999999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EC-46F2-910B-1BDA893E43CB}"/>
            </c:ext>
          </c:extLst>
        </c:ser>
        <c:ser>
          <c:idx val="4"/>
          <c:order val="4"/>
          <c:tx>
            <c:v>OMP 64 Threads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Folha1!$A$246:$A$253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Folha1!$B$246:$B$253</c:f>
              <c:numCache>
                <c:formatCode>General</c:formatCode>
                <c:ptCount val="8"/>
                <c:pt idx="0">
                  <c:v>0.48499999999999999</c:v>
                </c:pt>
                <c:pt idx="1">
                  <c:v>1.1930000000000001</c:v>
                </c:pt>
                <c:pt idx="2">
                  <c:v>3.8039999999999998</c:v>
                </c:pt>
                <c:pt idx="3">
                  <c:v>11.308999999999999</c:v>
                </c:pt>
                <c:pt idx="4">
                  <c:v>35.423999999999999</c:v>
                </c:pt>
                <c:pt idx="5">
                  <c:v>151.833</c:v>
                </c:pt>
                <c:pt idx="6">
                  <c:v>467.44100000000003</c:v>
                </c:pt>
                <c:pt idx="7">
                  <c:v>1221.1310000000001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EEC-46F2-910B-1BDA893E43CB}"/>
            </c:ext>
          </c:extLst>
        </c:ser>
        <c:ser>
          <c:idx val="5"/>
          <c:order val="5"/>
          <c:tx>
            <c:v>OMP 128 Threads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Folha1!$A$258:$A$265</c:f>
              <c:numCache>
                <c:formatCode>General</c:formatCode>
                <c:ptCount val="8"/>
                <c:pt idx="0">
                  <c:v>1000000000000</c:v>
                </c:pt>
                <c:pt idx="1">
                  <c:v>10000000000000</c:v>
                </c:pt>
                <c:pt idx="2">
                  <c:v>100000000000000</c:v>
                </c:pt>
                <c:pt idx="3">
                  <c:v>1000000000000000</c:v>
                </c:pt>
                <c:pt idx="4">
                  <c:v>1E+16</c:v>
                </c:pt>
                <c:pt idx="5">
                  <c:v>1E+17</c:v>
                </c:pt>
                <c:pt idx="6">
                  <c:v>1E+18</c:v>
                </c:pt>
                <c:pt idx="7">
                  <c:v>1E+19</c:v>
                </c:pt>
              </c:numCache>
            </c:numRef>
          </c:xVal>
          <c:yVal>
            <c:numRef>
              <c:f>Folha1!$B$258:$B$265</c:f>
              <c:numCache>
                <c:formatCode>General</c:formatCode>
                <c:ptCount val="8"/>
                <c:pt idx="0">
                  <c:v>0.57799999999999996</c:v>
                </c:pt>
                <c:pt idx="1">
                  <c:v>1.31</c:v>
                </c:pt>
                <c:pt idx="2">
                  <c:v>3.9020000000000001</c:v>
                </c:pt>
                <c:pt idx="3">
                  <c:v>11.419</c:v>
                </c:pt>
                <c:pt idx="4">
                  <c:v>35.642000000000003</c:v>
                </c:pt>
                <c:pt idx="5">
                  <c:v>149.95699999999999</c:v>
                </c:pt>
                <c:pt idx="6">
                  <c:v>465.197</c:v>
                </c:pt>
                <c:pt idx="7">
                  <c:v>1227.2090000000001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EEC-46F2-910B-1BDA893E4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314704"/>
        <c:axId val="1483467104"/>
      </c:scatterChart>
      <c:valAx>
        <c:axId val="149331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3467104"/>
        <c:crosses val="autoZero"/>
        <c:crossBetween val="midCat"/>
      </c:valAx>
      <c:valAx>
        <c:axId val="148346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331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Aceleração da Implementação</a:t>
            </a:r>
            <a:r>
              <a:rPr lang="en-GB" baseline="0"/>
              <a:t> N threads 4 threads com mutexes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Folha1!$G$77:$G$86</c:f>
              <c:numCache>
                <c:formatCode>0.00</c:formatCode>
                <c:ptCount val="10"/>
                <c:pt idx="0">
                  <c:v>0.84615384615384615</c:v>
                </c:pt>
                <c:pt idx="1">
                  <c:v>0.7777777777777779</c:v>
                </c:pt>
                <c:pt idx="2">
                  <c:v>1</c:v>
                </c:pt>
                <c:pt idx="3">
                  <c:v>1.0999999999999999</c:v>
                </c:pt>
                <c:pt idx="4">
                  <c:v>0.91666666666666663</c:v>
                </c:pt>
                <c:pt idx="5">
                  <c:v>1.3636363636363638</c:v>
                </c:pt>
                <c:pt idx="6">
                  <c:v>1.6</c:v>
                </c:pt>
                <c:pt idx="7">
                  <c:v>2.0833333333333335</c:v>
                </c:pt>
                <c:pt idx="8">
                  <c:v>5.1111111111111116</c:v>
                </c:pt>
                <c:pt idx="9">
                  <c:v>2.5673758865248231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B5-4659-94E5-8EA498658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40784"/>
        <c:axId val="1385726608"/>
      </c:scatterChart>
      <c:valAx>
        <c:axId val="157994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726608"/>
        <c:crosses val="autoZero"/>
        <c:crossBetween val="midCat"/>
      </c:valAx>
      <c:valAx>
        <c:axId val="138572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40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Aceleração de OpenMP 4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Aceleraçãp da OpenMP 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Folha1!$G$92:$G$101</c:f>
              <c:numCache>
                <c:formatCode>0.00</c:formatCode>
                <c:ptCount val="10"/>
                <c:pt idx="0">
                  <c:v>1.0999999999999999</c:v>
                </c:pt>
                <c:pt idx="1">
                  <c:v>0.7</c:v>
                </c:pt>
                <c:pt idx="2">
                  <c:v>1</c:v>
                </c:pt>
                <c:pt idx="3">
                  <c:v>0.54999999999999993</c:v>
                </c:pt>
                <c:pt idx="4">
                  <c:v>0.54999999999999993</c:v>
                </c:pt>
                <c:pt idx="5">
                  <c:v>0.75</c:v>
                </c:pt>
                <c:pt idx="6">
                  <c:v>1.5</c:v>
                </c:pt>
                <c:pt idx="7">
                  <c:v>2.7777777777777777</c:v>
                </c:pt>
                <c:pt idx="8">
                  <c:v>5.75</c:v>
                </c:pt>
                <c:pt idx="9">
                  <c:v>3.3518518518518516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0B-47BF-9F9C-A2E1847FC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542416"/>
        <c:axId val="1380989344"/>
      </c:scatterChart>
      <c:valAx>
        <c:axId val="157954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0989344"/>
        <c:crosses val="autoZero"/>
        <c:crossBetween val="midCat"/>
      </c:valAx>
      <c:valAx>
        <c:axId val="138098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542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da Implementação N threads 4 threads com mutexes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Folha1!$F$77:$F$86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Folha1!$H$77:$H$86</c:f>
              <c:numCache>
                <c:formatCode>0.00</c:formatCode>
                <c:ptCount val="10"/>
                <c:pt idx="0">
                  <c:v>21.153846153846153</c:v>
                </c:pt>
                <c:pt idx="1">
                  <c:v>19.444444444444446</c:v>
                </c:pt>
                <c:pt idx="2">
                  <c:v>25</c:v>
                </c:pt>
                <c:pt idx="3">
                  <c:v>27.499999999999996</c:v>
                </c:pt>
                <c:pt idx="4">
                  <c:v>22.916666666666664</c:v>
                </c:pt>
                <c:pt idx="5">
                  <c:v>34.090909090909093</c:v>
                </c:pt>
                <c:pt idx="6">
                  <c:v>40</c:v>
                </c:pt>
                <c:pt idx="7">
                  <c:v>52.083333333333336</c:v>
                </c:pt>
                <c:pt idx="8">
                  <c:v>127.77777777777779</c:v>
                </c:pt>
                <c:pt idx="9">
                  <c:v>64.184397163120579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E6-4D8E-8087-421131B5E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936384"/>
        <c:axId val="1633839472"/>
      </c:scatterChart>
      <c:valAx>
        <c:axId val="157993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839472"/>
        <c:crosses val="autoZero"/>
        <c:crossBetween val="midCat"/>
      </c:valAx>
      <c:valAx>
        <c:axId val="163383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936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OpenMP 4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Folha1!$F$92:$F$101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Folha1!$H$92:$H$101</c:f>
              <c:numCache>
                <c:formatCode>0.00</c:formatCode>
                <c:ptCount val="10"/>
                <c:pt idx="0">
                  <c:v>27.499999999999996</c:v>
                </c:pt>
                <c:pt idx="1">
                  <c:v>17.5</c:v>
                </c:pt>
                <c:pt idx="2">
                  <c:v>25</c:v>
                </c:pt>
                <c:pt idx="3">
                  <c:v>13.749999999999998</c:v>
                </c:pt>
                <c:pt idx="4">
                  <c:v>13.749999999999998</c:v>
                </c:pt>
                <c:pt idx="5">
                  <c:v>18.75</c:v>
                </c:pt>
                <c:pt idx="6">
                  <c:v>37.5</c:v>
                </c:pt>
                <c:pt idx="7">
                  <c:v>69.444444444444443</c:v>
                </c:pt>
                <c:pt idx="8">
                  <c:v>143.75</c:v>
                </c:pt>
                <c:pt idx="9">
                  <c:v>83.796296296296291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5-4EE9-9F9A-2F74DCA17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547360"/>
        <c:axId val="1378709040"/>
      </c:scatterChart>
      <c:valAx>
        <c:axId val="148854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09040"/>
        <c:crosses val="autoZero"/>
        <c:crossBetween val="midCat"/>
      </c:valAx>
      <c:valAx>
        <c:axId val="137870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54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Aceleração de OpenMp 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Folha1!$F$108:$F$117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Folha1!$G$108:$G$117</c:f>
              <c:numCache>
                <c:formatCode>0.00</c:formatCode>
                <c:ptCount val="10"/>
                <c:pt idx="0">
                  <c:v>1.0999999999999999</c:v>
                </c:pt>
                <c:pt idx="1">
                  <c:v>0.7</c:v>
                </c:pt>
                <c:pt idx="2">
                  <c:v>1</c:v>
                </c:pt>
                <c:pt idx="3">
                  <c:v>0.54999999999999993</c:v>
                </c:pt>
                <c:pt idx="4">
                  <c:v>0.54999999999999993</c:v>
                </c:pt>
                <c:pt idx="5">
                  <c:v>0.5</c:v>
                </c:pt>
                <c:pt idx="6">
                  <c:v>0.6</c:v>
                </c:pt>
                <c:pt idx="7">
                  <c:v>6.25</c:v>
                </c:pt>
                <c:pt idx="8">
                  <c:v>8.9444444444444446</c:v>
                </c:pt>
                <c:pt idx="9">
                  <c:v>3.2321428571428568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8-46B4-A0DC-DC6C708CF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9108096"/>
        <c:axId val="1658488192"/>
      </c:scatterChart>
      <c:valAx>
        <c:axId val="1709108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488192"/>
        <c:crosses val="autoZero"/>
        <c:crossBetween val="midCat"/>
      </c:valAx>
      <c:valAx>
        <c:axId val="165848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aceleração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108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Eficiência OpenMP 8 threads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Folha1!$F$108:$F$117</c:f>
              <c:numCache>
                <c:formatCode>0E+00</c:formatCode>
                <c:ptCount val="10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  <c:pt idx="8">
                  <c:v>1000000000</c:v>
                </c:pt>
                <c:pt idx="9">
                  <c:v>10000000000</c:v>
                </c:pt>
              </c:numCache>
            </c:numRef>
          </c:xVal>
          <c:yVal>
            <c:numRef>
              <c:f>Folha1!$H$108:$H$117</c:f>
              <c:numCache>
                <c:formatCode>0.00</c:formatCode>
                <c:ptCount val="10"/>
                <c:pt idx="0">
                  <c:v>27.499999999999996</c:v>
                </c:pt>
                <c:pt idx="1">
                  <c:v>17.5</c:v>
                </c:pt>
                <c:pt idx="2">
                  <c:v>25</c:v>
                </c:pt>
                <c:pt idx="3">
                  <c:v>13.749999999999998</c:v>
                </c:pt>
                <c:pt idx="4">
                  <c:v>13.749999999999998</c:v>
                </c:pt>
                <c:pt idx="5">
                  <c:v>12.5</c:v>
                </c:pt>
                <c:pt idx="6">
                  <c:v>15</c:v>
                </c:pt>
                <c:pt idx="7">
                  <c:v>156.25</c:v>
                </c:pt>
                <c:pt idx="8">
                  <c:v>223.61111111111111</c:v>
                </c:pt>
                <c:pt idx="9">
                  <c:v>80.803571428571416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1C-4668-B9A9-D64A3CC82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9666752"/>
        <c:axId val="1707905168"/>
      </c:scatterChart>
      <c:valAx>
        <c:axId val="1679666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905168"/>
        <c:crosses val="autoZero"/>
        <c:crossBetween val="midCat"/>
      </c:valAx>
      <c:valAx>
        <c:axId val="170790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eficiência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66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9</xdr:row>
      <xdr:rowOff>76201</xdr:rowOff>
    </xdr:from>
    <xdr:to>
      <xdr:col>20</xdr:col>
      <xdr:colOff>171450</xdr:colOff>
      <xdr:row>33</xdr:row>
      <xdr:rowOff>19051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86EF2A-8621-42A7-B997-D5B4D2F16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4762</xdr:colOff>
      <xdr:row>9</xdr:row>
      <xdr:rowOff>119062</xdr:rowOff>
    </xdr:from>
    <xdr:to>
      <xdr:col>47</xdr:col>
      <xdr:colOff>528637</xdr:colOff>
      <xdr:row>31</xdr:row>
      <xdr:rowOff>147637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7574B4D-3D44-4208-90E1-4737527AFB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452436</xdr:colOff>
      <xdr:row>9</xdr:row>
      <xdr:rowOff>128588</xdr:rowOff>
    </xdr:from>
    <xdr:to>
      <xdr:col>34</xdr:col>
      <xdr:colOff>404811</xdr:colOff>
      <xdr:row>33</xdr:row>
      <xdr:rowOff>23812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5A31050-9F2B-49EE-B64F-D6EF4BDAC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200025</xdr:colOff>
      <xdr:row>71</xdr:row>
      <xdr:rowOff>166687</xdr:rowOff>
    </xdr:from>
    <xdr:to>
      <xdr:col>16</xdr:col>
      <xdr:colOff>504825</xdr:colOff>
      <xdr:row>86</xdr:row>
      <xdr:rowOff>52387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04D866F-2DFF-4DD4-8A16-4E2164094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266700</xdr:colOff>
      <xdr:row>88</xdr:row>
      <xdr:rowOff>42862</xdr:rowOff>
    </xdr:from>
    <xdr:to>
      <xdr:col>16</xdr:col>
      <xdr:colOff>571500</xdr:colOff>
      <xdr:row>102</xdr:row>
      <xdr:rowOff>119062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5A94AF8-7D0B-48B5-A522-6E160D107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323850</xdr:colOff>
      <xdr:row>72</xdr:row>
      <xdr:rowOff>52387</xdr:rowOff>
    </xdr:from>
    <xdr:to>
      <xdr:col>25</xdr:col>
      <xdr:colOff>19050</xdr:colOff>
      <xdr:row>86</xdr:row>
      <xdr:rowOff>128587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5D6A37-0907-45F9-99C8-5A0BD8C51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381000</xdr:colOff>
      <xdr:row>87</xdr:row>
      <xdr:rowOff>176212</xdr:rowOff>
    </xdr:from>
    <xdr:to>
      <xdr:col>25</xdr:col>
      <xdr:colOff>76200</xdr:colOff>
      <xdr:row>102</xdr:row>
      <xdr:rowOff>61912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74C033E-549E-4B7C-9D94-15C34F66B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219075</xdr:colOff>
      <xdr:row>105</xdr:row>
      <xdr:rowOff>52387</xdr:rowOff>
    </xdr:from>
    <xdr:to>
      <xdr:col>16</xdr:col>
      <xdr:colOff>523875</xdr:colOff>
      <xdr:row>119</xdr:row>
      <xdr:rowOff>128587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5693278E-B5B0-4C62-AE9A-F67EC52C0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542925</xdr:colOff>
      <xdr:row>105</xdr:row>
      <xdr:rowOff>71437</xdr:rowOff>
    </xdr:from>
    <xdr:to>
      <xdr:col>25</xdr:col>
      <xdr:colOff>238125</xdr:colOff>
      <xdr:row>119</xdr:row>
      <xdr:rowOff>147637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E96CD4F-4CA7-49CC-B292-C8EB7F6990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5"/>
  <sheetViews>
    <sheetView tabSelected="1" topLeftCell="A196" zoomScaleNormal="100" workbookViewId="0">
      <selection activeCell="I264" sqref="I264"/>
    </sheetView>
  </sheetViews>
  <sheetFormatPr defaultRowHeight="15" x14ac:dyDescent="0.25"/>
  <cols>
    <col min="1" max="1" width="11" customWidth="1"/>
    <col min="2" max="2" width="29.140625" customWidth="1"/>
    <col min="3" max="3" width="30.42578125" customWidth="1"/>
    <col min="4" max="4" width="28.5703125" customWidth="1"/>
    <col min="8" max="8" width="10.57031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8</v>
      </c>
    </row>
    <row r="5" spans="1:4" x14ac:dyDescent="0.25">
      <c r="A5" s="5" t="s">
        <v>0</v>
      </c>
      <c r="B5" s="5" t="s">
        <v>3</v>
      </c>
      <c r="C5" s="5" t="s">
        <v>4</v>
      </c>
      <c r="D5" s="5" t="s">
        <v>5</v>
      </c>
    </row>
    <row r="6" spans="1:4" x14ac:dyDescent="0.25">
      <c r="A6" s="7">
        <v>10</v>
      </c>
      <c r="B6" s="8">
        <v>1.0999999999999999E-2</v>
      </c>
      <c r="C6" s="8">
        <v>4.0000000000000001E-3</v>
      </c>
      <c r="D6" s="8">
        <v>1.6E-2</v>
      </c>
    </row>
    <row r="7" spans="1:4" x14ac:dyDescent="0.25">
      <c r="A7" s="7">
        <v>100</v>
      </c>
      <c r="B7" s="8">
        <v>7.0000000000000001E-3</v>
      </c>
      <c r="C7" s="8" t="s">
        <v>7</v>
      </c>
      <c r="D7" s="8">
        <v>1.1999999999999999E-3</v>
      </c>
    </row>
    <row r="8" spans="1:4" x14ac:dyDescent="0.25">
      <c r="A8" s="7">
        <v>1000</v>
      </c>
      <c r="B8" s="8">
        <v>0.01</v>
      </c>
      <c r="C8" s="8" t="s">
        <v>7</v>
      </c>
      <c r="D8" s="8">
        <v>1.6E-2</v>
      </c>
    </row>
    <row r="9" spans="1:4" x14ac:dyDescent="0.25">
      <c r="A9" s="7">
        <v>10000</v>
      </c>
      <c r="B9" s="8">
        <v>1.0999999999999999E-2</v>
      </c>
      <c r="C9" s="8">
        <v>8.0000000000000002E-3</v>
      </c>
      <c r="D9" s="8">
        <v>8.0000000000000002E-3</v>
      </c>
    </row>
    <row r="10" spans="1:4" x14ac:dyDescent="0.25">
      <c r="A10" s="7">
        <v>100000</v>
      </c>
      <c r="B10" s="8">
        <v>1.0999999999999999E-2</v>
      </c>
      <c r="C10" s="8">
        <v>0</v>
      </c>
      <c r="D10" s="8">
        <v>1.6E-2</v>
      </c>
    </row>
    <row r="11" spans="1:4" x14ac:dyDescent="0.25">
      <c r="A11" s="7">
        <v>1000000</v>
      </c>
      <c r="B11" s="8">
        <v>1.4999999999999999E-2</v>
      </c>
      <c r="C11" s="8">
        <v>8.0000000000000002E-3</v>
      </c>
      <c r="D11" s="8">
        <v>1.1999999999999999E-3</v>
      </c>
    </row>
    <row r="12" spans="1:4" x14ac:dyDescent="0.25">
      <c r="A12" s="7">
        <v>10000000</v>
      </c>
      <c r="B12" s="8">
        <v>2.4E-2</v>
      </c>
      <c r="C12" s="8">
        <v>3.2000000000000001E-2</v>
      </c>
      <c r="D12" s="8">
        <v>4.0000000000000001E-3</v>
      </c>
    </row>
    <row r="13" spans="1:4" x14ac:dyDescent="0.25">
      <c r="A13" s="7">
        <v>100000000</v>
      </c>
      <c r="B13" s="8">
        <v>7.4999999999999997E-2</v>
      </c>
      <c r="C13" s="8">
        <v>0.104</v>
      </c>
      <c r="D13" s="8">
        <v>8.0000000000000002E-3</v>
      </c>
    </row>
    <row r="14" spans="1:4" x14ac:dyDescent="0.25">
      <c r="A14" s="7">
        <v>1000000000</v>
      </c>
      <c r="B14" s="8">
        <v>0.32200000000000001</v>
      </c>
      <c r="C14" s="8">
        <v>0.40400000000000003</v>
      </c>
      <c r="D14" s="8">
        <v>5.1999999999999998E-2</v>
      </c>
    </row>
    <row r="15" spans="1:4" x14ac:dyDescent="0.25">
      <c r="A15" s="7">
        <v>10000000000</v>
      </c>
      <c r="B15" s="8">
        <v>0.36199999999999999</v>
      </c>
      <c r="C15" s="8">
        <v>0.47199999999999998</v>
      </c>
      <c r="D15" s="8">
        <v>4.3999999999999997E-2</v>
      </c>
    </row>
    <row r="16" spans="1:4" x14ac:dyDescent="0.25">
      <c r="A16" s="7"/>
      <c r="B16" s="1"/>
      <c r="C16" s="1"/>
      <c r="D16" s="1"/>
    </row>
    <row r="17" spans="1:4" x14ac:dyDescent="0.25">
      <c r="A17" s="7"/>
      <c r="B17" s="1"/>
      <c r="C17" s="1"/>
      <c r="D17" s="1"/>
    </row>
    <row r="18" spans="1:4" x14ac:dyDescent="0.25">
      <c r="A18" s="9" t="s">
        <v>6</v>
      </c>
    </row>
    <row r="19" spans="1:4" x14ac:dyDescent="0.25">
      <c r="A19" s="7" t="s">
        <v>0</v>
      </c>
      <c r="B19" s="2" t="s">
        <v>3</v>
      </c>
      <c r="C19" s="2" t="s">
        <v>4</v>
      </c>
      <c r="D19" s="2" t="s">
        <v>5</v>
      </c>
    </row>
    <row r="20" spans="1:4" x14ac:dyDescent="0.25">
      <c r="A20" s="7">
        <v>10</v>
      </c>
      <c r="B20" s="8">
        <v>1.4E-2</v>
      </c>
      <c r="C20" s="8">
        <v>0.04</v>
      </c>
      <c r="D20" s="8">
        <v>1.6E-2</v>
      </c>
    </row>
    <row r="21" spans="1:4" x14ac:dyDescent="0.25">
      <c r="A21" s="7">
        <v>100</v>
      </c>
      <c r="B21" s="8">
        <v>1.0999999999999999E-2</v>
      </c>
      <c r="C21" s="8">
        <v>0</v>
      </c>
      <c r="D21" s="8">
        <v>1.6E-2</v>
      </c>
    </row>
    <row r="22" spans="1:4" x14ac:dyDescent="0.25">
      <c r="A22" s="7">
        <v>1000</v>
      </c>
      <c r="B22" s="8">
        <v>8.9999999999999993E-3</v>
      </c>
      <c r="C22" s="8">
        <v>0</v>
      </c>
      <c r="D22" s="8">
        <v>1.2E-2</v>
      </c>
    </row>
    <row r="23" spans="1:4" x14ac:dyDescent="0.25">
      <c r="A23" s="7">
        <v>10000</v>
      </c>
      <c r="B23" s="8">
        <v>1.2999999999999999E-2</v>
      </c>
      <c r="C23" s="8">
        <v>4.0000000000000001E-3</v>
      </c>
      <c r="D23" s="8">
        <v>1.2E-2</v>
      </c>
    </row>
    <row r="24" spans="1:4" x14ac:dyDescent="0.25">
      <c r="A24" s="7">
        <v>100000</v>
      </c>
      <c r="B24" s="8">
        <v>1.2E-2</v>
      </c>
      <c r="C24" s="8">
        <v>0.04</v>
      </c>
      <c r="D24" s="8">
        <v>1.2E-2</v>
      </c>
    </row>
    <row r="25" spans="1:4" x14ac:dyDescent="0.25">
      <c r="A25" s="7">
        <v>1000000</v>
      </c>
      <c r="B25" s="8">
        <v>1.2E-2</v>
      </c>
      <c r="C25" s="8">
        <v>4.0000000000000001E-3</v>
      </c>
      <c r="D25" s="8">
        <v>1.2E-2</v>
      </c>
    </row>
    <row r="26" spans="1:4" x14ac:dyDescent="0.25">
      <c r="A26" s="7">
        <v>10000000</v>
      </c>
      <c r="B26" s="8">
        <v>2.4E-2</v>
      </c>
      <c r="C26" s="8">
        <v>1.2E-2</v>
      </c>
      <c r="D26" s="8">
        <v>2.4E-2</v>
      </c>
    </row>
    <row r="27" spans="1:4" x14ac:dyDescent="0.25">
      <c r="A27" s="7">
        <v>100000000</v>
      </c>
      <c r="B27" s="8">
        <v>8.7999999999999995E-2</v>
      </c>
      <c r="C27" s="8">
        <v>0.1</v>
      </c>
      <c r="D27" s="8">
        <v>2.8000000000000001E-2</v>
      </c>
    </row>
    <row r="28" spans="1:4" x14ac:dyDescent="0.25">
      <c r="A28" s="7">
        <v>1000000000</v>
      </c>
      <c r="B28" s="8">
        <v>0.32800000000000001</v>
      </c>
      <c r="C28" s="8">
        <v>4.24E-2</v>
      </c>
      <c r="D28" s="8">
        <v>3.5999999999999997E-2</v>
      </c>
    </row>
    <row r="29" spans="1:4" x14ac:dyDescent="0.25">
      <c r="A29" s="7">
        <v>10000000000</v>
      </c>
      <c r="B29" s="8">
        <v>0.442</v>
      </c>
      <c r="C29" s="8">
        <v>0.58799999999999997</v>
      </c>
      <c r="D29" s="8">
        <v>2.4E-2</v>
      </c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9" t="s">
        <v>9</v>
      </c>
    </row>
    <row r="34" spans="1:4" x14ac:dyDescent="0.25">
      <c r="A34" s="7" t="s">
        <v>0</v>
      </c>
      <c r="B34" s="10" t="s">
        <v>3</v>
      </c>
      <c r="C34" s="2" t="s">
        <v>4</v>
      </c>
      <c r="D34" s="2" t="s">
        <v>5</v>
      </c>
    </row>
    <row r="35" spans="1:4" x14ac:dyDescent="0.25">
      <c r="A35" s="7">
        <v>10</v>
      </c>
      <c r="B35" s="8">
        <v>1.0999999999999999E-2</v>
      </c>
      <c r="C35" s="8">
        <v>8.0000000000000002E-3</v>
      </c>
      <c r="D35" s="8">
        <v>8.0000000000000002E-3</v>
      </c>
    </row>
    <row r="36" spans="1:4" x14ac:dyDescent="0.25">
      <c r="A36" s="7">
        <v>100</v>
      </c>
      <c r="B36" s="8">
        <v>8.9999999999999993E-3</v>
      </c>
      <c r="C36" s="8">
        <v>1.2E-2</v>
      </c>
      <c r="D36" s="8" t="s">
        <v>7</v>
      </c>
    </row>
    <row r="37" spans="1:4" x14ac:dyDescent="0.25">
      <c r="A37" s="7">
        <v>1000</v>
      </c>
      <c r="B37" s="8">
        <v>8.0000000000000002E-3</v>
      </c>
      <c r="C37" s="8" t="s">
        <v>7</v>
      </c>
      <c r="D37" s="8">
        <v>1.2E-2</v>
      </c>
    </row>
    <row r="38" spans="1:4" x14ac:dyDescent="0.25">
      <c r="A38" s="7">
        <v>10000</v>
      </c>
      <c r="B38" s="8">
        <v>1.0999999999999999E-2</v>
      </c>
      <c r="C38" s="8">
        <v>1.2E-2</v>
      </c>
      <c r="D38" s="8">
        <v>4.0000000000000001E-3</v>
      </c>
    </row>
    <row r="39" spans="1:4" x14ac:dyDescent="0.25">
      <c r="A39" s="7">
        <v>100000</v>
      </c>
      <c r="B39" s="8">
        <v>0.01</v>
      </c>
      <c r="C39" s="8" t="s">
        <v>7</v>
      </c>
      <c r="D39" s="8">
        <v>1.6E-2</v>
      </c>
    </row>
    <row r="40" spans="1:4" x14ac:dyDescent="0.25">
      <c r="A40" s="7">
        <v>1000000</v>
      </c>
      <c r="B40" s="8">
        <v>1.7000000000000001E-2</v>
      </c>
      <c r="C40" s="8">
        <v>1.2E-2</v>
      </c>
      <c r="D40" s="8">
        <v>1.2E-2</v>
      </c>
    </row>
    <row r="41" spans="1:4" x14ac:dyDescent="0.25">
      <c r="A41" s="7">
        <v>10000000</v>
      </c>
      <c r="B41" s="8">
        <v>2.5000000000000001E-2</v>
      </c>
      <c r="C41" s="8">
        <v>1.6E-2</v>
      </c>
      <c r="D41" s="8">
        <v>0.02</v>
      </c>
    </row>
    <row r="42" spans="1:4" x14ac:dyDescent="0.25">
      <c r="A42" s="7">
        <v>100000000</v>
      </c>
      <c r="B42" s="8">
        <v>7.0000000000000007E-2</v>
      </c>
      <c r="C42" s="8">
        <v>9.6000000000000002E-2</v>
      </c>
      <c r="D42" s="8">
        <v>4.0000000000000001E-3</v>
      </c>
    </row>
    <row r="43" spans="1:4" x14ac:dyDescent="0.25">
      <c r="A43" s="7">
        <v>1000000000</v>
      </c>
      <c r="B43" s="8">
        <v>3.4500000000000003E-2</v>
      </c>
      <c r="C43" s="8">
        <v>4.36E-2</v>
      </c>
      <c r="D43" s="8">
        <v>5.1999999999999998E-2</v>
      </c>
    </row>
    <row r="44" spans="1:4" x14ac:dyDescent="0.25">
      <c r="A44" s="7">
        <v>10000000000</v>
      </c>
      <c r="B44" s="8">
        <v>0.45300000000000001</v>
      </c>
      <c r="C44" s="8">
        <v>6.08E-2</v>
      </c>
      <c r="D44" s="8">
        <v>3.5999999999999997E-2</v>
      </c>
    </row>
    <row r="45" spans="1:4" x14ac:dyDescent="0.25">
      <c r="A45" s="2"/>
      <c r="B45" s="6"/>
      <c r="C45" s="6"/>
      <c r="D45" s="6"/>
    </row>
    <row r="46" spans="1:4" x14ac:dyDescent="0.25">
      <c r="A46" s="2"/>
      <c r="C46" s="1"/>
      <c r="D46" s="5"/>
    </row>
    <row r="47" spans="1:4" x14ac:dyDescent="0.25">
      <c r="A47" s="9" t="s">
        <v>10</v>
      </c>
    </row>
    <row r="48" spans="1:4" x14ac:dyDescent="0.25">
      <c r="A48" s="7" t="s">
        <v>0</v>
      </c>
      <c r="B48" s="10" t="s">
        <v>3</v>
      </c>
      <c r="C48" s="2" t="s">
        <v>4</v>
      </c>
      <c r="D48" s="2" t="s">
        <v>5</v>
      </c>
    </row>
    <row r="49" spans="1:4" x14ac:dyDescent="0.25">
      <c r="A49" s="7">
        <v>10</v>
      </c>
      <c r="B49" s="8">
        <v>8.9999999999999993E-3</v>
      </c>
      <c r="C49" s="8">
        <v>4.0000000000000001E-3</v>
      </c>
      <c r="D49" s="8">
        <v>8.0000000000000002E-3</v>
      </c>
    </row>
    <row r="50" spans="1:4" x14ac:dyDescent="0.25">
      <c r="A50" s="7">
        <v>100</v>
      </c>
      <c r="B50" s="8">
        <v>8.0000000000000002E-3</v>
      </c>
      <c r="C50" s="8">
        <v>8.0000000000000002E-3</v>
      </c>
      <c r="D50" s="8">
        <v>4.0000000000000001E-3</v>
      </c>
    </row>
    <row r="51" spans="1:4" x14ac:dyDescent="0.25">
      <c r="A51" s="7">
        <v>1000</v>
      </c>
      <c r="B51" s="8">
        <v>8.0000000000000002E-3</v>
      </c>
      <c r="C51" s="8" t="s">
        <v>7</v>
      </c>
      <c r="D51" s="8">
        <v>1.2E-2</v>
      </c>
    </row>
    <row r="52" spans="1:4" x14ac:dyDescent="0.25">
      <c r="A52" s="7">
        <v>10000</v>
      </c>
      <c r="B52" s="8">
        <v>1.0999999999999999E-2</v>
      </c>
      <c r="C52" s="8" t="s">
        <v>7</v>
      </c>
      <c r="D52" s="8">
        <v>1.2E-2</v>
      </c>
    </row>
    <row r="53" spans="1:4" x14ac:dyDescent="0.25">
      <c r="A53" s="7">
        <v>100000</v>
      </c>
      <c r="B53" s="8">
        <v>1.0999999999999999E-2</v>
      </c>
      <c r="C53" s="8">
        <v>4.0000000000000001E-3</v>
      </c>
      <c r="D53" s="8">
        <v>1.2E-2</v>
      </c>
    </row>
    <row r="54" spans="1:4" x14ac:dyDescent="0.25">
      <c r="A54" s="7">
        <v>1000000</v>
      </c>
      <c r="B54" s="8">
        <v>1.6E-2</v>
      </c>
      <c r="C54" s="8" t="s">
        <v>7</v>
      </c>
      <c r="D54" s="8">
        <v>2.4E-2</v>
      </c>
    </row>
    <row r="55" spans="1:4" x14ac:dyDescent="0.25">
      <c r="A55" s="7">
        <v>10000000</v>
      </c>
      <c r="B55" s="8">
        <v>3.1E-2</v>
      </c>
      <c r="C55" s="8">
        <v>3.2000000000000001E-2</v>
      </c>
      <c r="D55" s="8">
        <v>1.6E-2</v>
      </c>
    </row>
    <row r="56" spans="1:4" x14ac:dyDescent="0.25">
      <c r="A56" s="7">
        <v>100000000</v>
      </c>
      <c r="B56" s="8">
        <v>7.5999999999999998E-2</v>
      </c>
      <c r="C56" s="8">
        <v>9.1999999999999998E-2</v>
      </c>
      <c r="D56" s="8">
        <v>1.6E-2</v>
      </c>
    </row>
    <row r="57" spans="1:4" x14ac:dyDescent="0.25">
      <c r="A57" s="7">
        <v>1000000000</v>
      </c>
      <c r="B57" s="8">
        <v>0.32100000000000001</v>
      </c>
      <c r="C57" s="8">
        <v>0.432</v>
      </c>
      <c r="D57" s="8">
        <v>2.4E-2</v>
      </c>
    </row>
    <row r="58" spans="1:4" x14ac:dyDescent="0.25">
      <c r="A58" s="7">
        <v>10000000000</v>
      </c>
      <c r="B58" s="8">
        <v>0.35799999999999998</v>
      </c>
      <c r="C58" s="8">
        <v>0.44400000000000001</v>
      </c>
      <c r="D58" s="8">
        <v>0.06</v>
      </c>
    </row>
    <row r="59" spans="1:4" x14ac:dyDescent="0.25">
      <c r="A59" s="2"/>
      <c r="C59" s="1"/>
      <c r="D59" s="5"/>
    </row>
    <row r="60" spans="1:4" x14ac:dyDescent="0.25">
      <c r="A60" s="2"/>
      <c r="C60" s="1"/>
      <c r="D60" s="5"/>
    </row>
    <row r="61" spans="1:4" x14ac:dyDescent="0.25">
      <c r="A61" s="9" t="s">
        <v>11</v>
      </c>
    </row>
    <row r="62" spans="1:4" x14ac:dyDescent="0.25">
      <c r="A62" s="7" t="s">
        <v>0</v>
      </c>
      <c r="B62" s="10" t="s">
        <v>3</v>
      </c>
      <c r="C62" s="2" t="s">
        <v>4</v>
      </c>
      <c r="D62" s="2" t="s">
        <v>5</v>
      </c>
    </row>
    <row r="63" spans="1:4" x14ac:dyDescent="0.25">
      <c r="A63" s="7">
        <v>10</v>
      </c>
      <c r="B63" s="8">
        <v>0.04</v>
      </c>
      <c r="C63" s="8">
        <v>4.0000000000000001E-3</v>
      </c>
      <c r="D63" s="8">
        <v>1.6E-2</v>
      </c>
    </row>
    <row r="64" spans="1:4" x14ac:dyDescent="0.25">
      <c r="A64" s="7">
        <v>100</v>
      </c>
      <c r="B64" s="8">
        <v>1.0999999999999999E-2</v>
      </c>
      <c r="C64" s="8" t="s">
        <v>7</v>
      </c>
      <c r="D64" s="8">
        <v>1.6E-2</v>
      </c>
    </row>
    <row r="65" spans="1:8" x14ac:dyDescent="0.25">
      <c r="A65" s="7">
        <v>1000</v>
      </c>
      <c r="B65" s="8">
        <v>1.0999999999999999E-2</v>
      </c>
      <c r="C65" s="8">
        <v>4.0000000000000001E-3</v>
      </c>
      <c r="D65" s="8">
        <v>1.2E-2</v>
      </c>
    </row>
    <row r="66" spans="1:8" x14ac:dyDescent="0.25">
      <c r="A66" s="7">
        <v>10000</v>
      </c>
      <c r="B66" s="8">
        <v>0.01</v>
      </c>
      <c r="C66" s="8" t="s">
        <v>7</v>
      </c>
      <c r="D66" s="8">
        <v>1.6E-2</v>
      </c>
    </row>
    <row r="67" spans="1:8" x14ac:dyDescent="0.25">
      <c r="A67" s="7">
        <v>100000</v>
      </c>
      <c r="B67" s="8">
        <v>1.7000000000000001E-2</v>
      </c>
      <c r="C67" s="8">
        <v>8.0000000000000002E-3</v>
      </c>
      <c r="D67" s="8">
        <v>0.02</v>
      </c>
    </row>
    <row r="68" spans="1:8" x14ac:dyDescent="0.25">
      <c r="A68" s="7">
        <v>1000000</v>
      </c>
      <c r="B68" s="8">
        <v>1.7000000000000001E-2</v>
      </c>
      <c r="C68" s="8" t="s">
        <v>7</v>
      </c>
      <c r="D68" s="8">
        <v>2.8000000000000001E-2</v>
      </c>
    </row>
    <row r="69" spans="1:8" x14ac:dyDescent="0.25">
      <c r="A69" s="7">
        <v>10000000</v>
      </c>
      <c r="B69" s="8">
        <v>0.03</v>
      </c>
      <c r="C69" s="8">
        <v>4.8000000000000001E-2</v>
      </c>
      <c r="D69" s="8">
        <v>4.0000000000000001E-3</v>
      </c>
    </row>
    <row r="70" spans="1:8" x14ac:dyDescent="0.25">
      <c r="A70" s="7">
        <v>100000000</v>
      </c>
      <c r="B70" s="8">
        <v>6.3E-2</v>
      </c>
      <c r="C70" s="8">
        <v>0.1</v>
      </c>
      <c r="D70" s="8">
        <v>1.2E-2</v>
      </c>
    </row>
    <row r="71" spans="1:8" x14ac:dyDescent="0.25">
      <c r="A71" s="7">
        <v>1000000000</v>
      </c>
      <c r="B71" s="8">
        <v>0.20399999999999999</v>
      </c>
      <c r="C71" s="8">
        <v>0.36</v>
      </c>
      <c r="D71" s="8">
        <v>3.2000000000000001E-2</v>
      </c>
    </row>
    <row r="72" spans="1:8" x14ac:dyDescent="0.25">
      <c r="A72" s="7">
        <v>10000000000</v>
      </c>
      <c r="B72" s="8">
        <v>0.23499999999999999</v>
      </c>
      <c r="C72" s="8">
        <v>0.38800000000000001</v>
      </c>
      <c r="D72" s="8">
        <v>0.06</v>
      </c>
    </row>
    <row r="73" spans="1:8" x14ac:dyDescent="0.25">
      <c r="A73" s="3"/>
      <c r="C73" s="1"/>
      <c r="D73" s="5"/>
    </row>
    <row r="75" spans="1:8" x14ac:dyDescent="0.25">
      <c r="A75" s="9" t="s">
        <v>12</v>
      </c>
    </row>
    <row r="76" spans="1:8" x14ac:dyDescent="0.25">
      <c r="A76" s="7" t="s">
        <v>0</v>
      </c>
      <c r="B76" s="10" t="s">
        <v>3</v>
      </c>
      <c r="C76" s="2" t="s">
        <v>4</v>
      </c>
      <c r="D76" s="2" t="s">
        <v>5</v>
      </c>
      <c r="F76" s="2" t="s">
        <v>0</v>
      </c>
      <c r="G76" t="s">
        <v>24</v>
      </c>
      <c r="H76" s="2" t="s">
        <v>25</v>
      </c>
    </row>
    <row r="77" spans="1:8" x14ac:dyDescent="0.25">
      <c r="A77" s="7">
        <v>10</v>
      </c>
      <c r="B77" s="8">
        <v>1.2999999999999999E-2</v>
      </c>
      <c r="C77" s="8" t="s">
        <v>7</v>
      </c>
      <c r="D77" s="8">
        <v>0.02</v>
      </c>
      <c r="F77" s="7">
        <v>10</v>
      </c>
      <c r="G77" s="12" cm="1">
        <f t="array" ref="G77:G86">B6:B15/B77:B86</f>
        <v>0.84615384615384615</v>
      </c>
      <c r="H77" s="12">
        <f>G77/4*100</f>
        <v>21.153846153846153</v>
      </c>
    </row>
    <row r="78" spans="1:8" x14ac:dyDescent="0.25">
      <c r="A78" s="7">
        <v>100</v>
      </c>
      <c r="B78" s="8">
        <v>8.9999999999999993E-3</v>
      </c>
      <c r="C78" s="8">
        <v>8.0000000000000002E-3</v>
      </c>
      <c r="D78" s="8" t="s">
        <v>7</v>
      </c>
      <c r="F78" s="7">
        <v>100</v>
      </c>
      <c r="G78" s="12">
        <v>0.7777777777777779</v>
      </c>
      <c r="H78" s="12">
        <f>G78/4*100</f>
        <v>19.444444444444446</v>
      </c>
    </row>
    <row r="79" spans="1:8" x14ac:dyDescent="0.25">
      <c r="A79" s="7">
        <v>1000</v>
      </c>
      <c r="B79" s="8">
        <v>0.01</v>
      </c>
      <c r="C79" s="8">
        <v>8.0000000000000002E-3</v>
      </c>
      <c r="D79" s="8">
        <v>8.0000000000000002E-3</v>
      </c>
      <c r="F79" s="7">
        <v>1000</v>
      </c>
      <c r="G79" s="12">
        <v>1</v>
      </c>
      <c r="H79" s="12">
        <f>G79/4*100</f>
        <v>25</v>
      </c>
    </row>
    <row r="80" spans="1:8" x14ac:dyDescent="0.25">
      <c r="A80" s="7">
        <v>10000</v>
      </c>
      <c r="B80" s="8">
        <v>0.01</v>
      </c>
      <c r="C80" s="8">
        <v>4.0000000000000001E-3</v>
      </c>
      <c r="D80" s="8">
        <v>1.2E-2</v>
      </c>
      <c r="F80" s="7">
        <v>10000</v>
      </c>
      <c r="G80" s="12">
        <v>1.0999999999999999</v>
      </c>
      <c r="H80" s="12">
        <f>G80/4*100</f>
        <v>27.499999999999996</v>
      </c>
    </row>
    <row r="81" spans="1:8" x14ac:dyDescent="0.25">
      <c r="A81" s="7">
        <v>100000</v>
      </c>
      <c r="B81" s="8">
        <v>1.2E-2</v>
      </c>
      <c r="C81" s="8">
        <v>4.0000000000000001E-3</v>
      </c>
      <c r="D81" s="8">
        <v>1.6E-2</v>
      </c>
      <c r="F81" s="7">
        <v>100000</v>
      </c>
      <c r="G81" s="12">
        <v>0.91666666666666663</v>
      </c>
      <c r="H81" s="12">
        <f>G81/4*100</f>
        <v>22.916666666666664</v>
      </c>
    </row>
    <row r="82" spans="1:8" x14ac:dyDescent="0.25">
      <c r="A82" s="7">
        <v>1000000</v>
      </c>
      <c r="B82" s="8">
        <v>1.0999999999999999E-2</v>
      </c>
      <c r="C82" s="8">
        <v>1.6E-2</v>
      </c>
      <c r="D82" s="8">
        <v>4.0000000000000001E-3</v>
      </c>
      <c r="F82" s="7">
        <v>1000000</v>
      </c>
      <c r="G82" s="12">
        <v>1.3636363636363638</v>
      </c>
      <c r="H82" s="12">
        <f>G82/4*100</f>
        <v>34.090909090909093</v>
      </c>
    </row>
    <row r="83" spans="1:8" x14ac:dyDescent="0.25">
      <c r="A83" s="7">
        <v>10000000</v>
      </c>
      <c r="B83" s="8">
        <v>1.4999999999999999E-2</v>
      </c>
      <c r="C83" s="8">
        <v>2.4E-2</v>
      </c>
      <c r="D83" s="8">
        <v>1.2E-2</v>
      </c>
      <c r="F83" s="7">
        <v>10000000</v>
      </c>
      <c r="G83" s="12">
        <v>1.6</v>
      </c>
      <c r="H83" s="12">
        <f>G83/4*100</f>
        <v>40</v>
      </c>
    </row>
    <row r="84" spans="1:8" x14ac:dyDescent="0.25">
      <c r="A84" s="7">
        <v>100000000</v>
      </c>
      <c r="B84" s="8">
        <v>3.5999999999999997E-2</v>
      </c>
      <c r="C84" s="8">
        <v>0.06</v>
      </c>
      <c r="D84" s="8">
        <v>2.4E-2</v>
      </c>
      <c r="F84" s="7">
        <v>100000000</v>
      </c>
      <c r="G84" s="12">
        <v>2.0833333333333335</v>
      </c>
      <c r="H84" s="12">
        <f>G84/4*100</f>
        <v>52.083333333333336</v>
      </c>
    </row>
    <row r="85" spans="1:8" x14ac:dyDescent="0.25">
      <c r="A85" s="7">
        <v>1000000000</v>
      </c>
      <c r="B85" s="8">
        <v>6.3E-2</v>
      </c>
      <c r="C85" s="8">
        <v>0.13200000000000001</v>
      </c>
      <c r="D85" s="8">
        <v>3.5999999999999999E-3</v>
      </c>
      <c r="F85" s="7">
        <v>1000000000</v>
      </c>
      <c r="G85" s="12">
        <v>5.1111111111111116</v>
      </c>
      <c r="H85" s="12">
        <f>G85/4*100</f>
        <v>127.77777777777779</v>
      </c>
    </row>
    <row r="86" spans="1:8" x14ac:dyDescent="0.25">
      <c r="A86" s="7">
        <v>10000000000</v>
      </c>
      <c r="B86" s="8">
        <v>0.14099999999999999</v>
      </c>
      <c r="C86" s="8">
        <v>0.44400000000000001</v>
      </c>
      <c r="D86" s="8">
        <v>8.0000000000000002E-3</v>
      </c>
      <c r="F86" s="7">
        <v>10000000000</v>
      </c>
      <c r="G86" s="12">
        <v>2.5673758865248231</v>
      </c>
      <c r="H86" s="12">
        <f>G86/4*100</f>
        <v>64.184397163120579</v>
      </c>
    </row>
    <row r="90" spans="1:8" x14ac:dyDescent="0.25">
      <c r="A90" s="9" t="s">
        <v>14</v>
      </c>
    </row>
    <row r="91" spans="1:8" x14ac:dyDescent="0.25">
      <c r="A91" s="7" t="s">
        <v>0</v>
      </c>
      <c r="B91" s="10" t="s">
        <v>3</v>
      </c>
      <c r="C91" s="2" t="s">
        <v>4</v>
      </c>
      <c r="D91" s="2" t="s">
        <v>5</v>
      </c>
      <c r="F91" s="2" t="s">
        <v>0</v>
      </c>
      <c r="G91" t="s">
        <v>24</v>
      </c>
      <c r="H91" s="2" t="s">
        <v>25</v>
      </c>
    </row>
    <row r="92" spans="1:8" x14ac:dyDescent="0.25">
      <c r="A92" s="7">
        <v>10</v>
      </c>
      <c r="B92" s="8">
        <v>0.01</v>
      </c>
      <c r="C92" s="8" t="s">
        <v>7</v>
      </c>
      <c r="D92" s="8" t="s">
        <v>7</v>
      </c>
      <c r="F92" s="7">
        <v>10</v>
      </c>
      <c r="G92" s="12" cm="1">
        <f t="array" ref="G92:G101">B6:B15/B92:B101</f>
        <v>1.0999999999999999</v>
      </c>
      <c r="H92" s="12">
        <f>G92/4*100</f>
        <v>27.499999999999996</v>
      </c>
    </row>
    <row r="93" spans="1:8" x14ac:dyDescent="0.25">
      <c r="A93" s="7">
        <v>100</v>
      </c>
      <c r="B93" s="8">
        <v>0.01</v>
      </c>
      <c r="C93" s="8" t="s">
        <v>7</v>
      </c>
      <c r="D93" s="8" t="s">
        <v>7</v>
      </c>
      <c r="F93" s="7">
        <v>100</v>
      </c>
      <c r="G93" s="12">
        <v>0.7</v>
      </c>
      <c r="H93" s="12">
        <f>G93/4*100</f>
        <v>17.5</v>
      </c>
    </row>
    <row r="94" spans="1:8" x14ac:dyDescent="0.25">
      <c r="A94" s="7">
        <v>1000</v>
      </c>
      <c r="B94" s="8">
        <v>0.01</v>
      </c>
      <c r="C94" s="8" t="s">
        <v>7</v>
      </c>
      <c r="D94" s="8" t="s">
        <v>7</v>
      </c>
      <c r="F94" s="7">
        <v>1000</v>
      </c>
      <c r="G94" s="12">
        <v>1</v>
      </c>
      <c r="H94" s="12">
        <f>G94/4*100</f>
        <v>25</v>
      </c>
    </row>
    <row r="95" spans="1:8" x14ac:dyDescent="0.25">
      <c r="A95" s="7">
        <v>10000</v>
      </c>
      <c r="B95" s="8">
        <v>0.02</v>
      </c>
      <c r="C95" s="8">
        <v>4.0000000000000001E-3</v>
      </c>
      <c r="D95" s="8" t="s">
        <v>7</v>
      </c>
      <c r="F95" s="7">
        <v>10000</v>
      </c>
      <c r="G95" s="12">
        <v>0.54999999999999993</v>
      </c>
      <c r="H95" s="12">
        <f>G95/4*100</f>
        <v>13.749999999999998</v>
      </c>
    </row>
    <row r="96" spans="1:8" x14ac:dyDescent="0.25">
      <c r="A96" s="7">
        <v>100000</v>
      </c>
      <c r="B96" s="8">
        <v>0.02</v>
      </c>
      <c r="C96" s="8">
        <v>4.0000000000000001E-3</v>
      </c>
      <c r="D96" s="8" t="s">
        <v>7</v>
      </c>
      <c r="F96" s="7">
        <v>100000</v>
      </c>
      <c r="G96" s="12">
        <v>0.54999999999999993</v>
      </c>
      <c r="H96" s="12">
        <f>G96/4*100</f>
        <v>13.749999999999998</v>
      </c>
    </row>
    <row r="97" spans="1:8" x14ac:dyDescent="0.25">
      <c r="A97" s="7">
        <v>1000000</v>
      </c>
      <c r="B97" s="8">
        <v>0.02</v>
      </c>
      <c r="C97" s="8">
        <v>0.04</v>
      </c>
      <c r="D97" s="8" t="s">
        <v>7</v>
      </c>
      <c r="F97" s="7">
        <v>1000000</v>
      </c>
      <c r="G97" s="12">
        <v>0.75</v>
      </c>
      <c r="H97" s="12">
        <f>G97/4*100</f>
        <v>18.75</v>
      </c>
    </row>
    <row r="98" spans="1:8" x14ac:dyDescent="0.25">
      <c r="A98" s="7">
        <v>10000000</v>
      </c>
      <c r="B98" s="8">
        <v>1.6E-2</v>
      </c>
      <c r="C98" s="8">
        <v>1.6E-2</v>
      </c>
      <c r="D98" s="8">
        <v>4.0000000000000001E-3</v>
      </c>
      <c r="F98" s="7">
        <v>10000000</v>
      </c>
      <c r="G98" s="12">
        <v>1.5</v>
      </c>
      <c r="H98" s="12">
        <f>G98/4*100</f>
        <v>37.5</v>
      </c>
    </row>
    <row r="99" spans="1:8" x14ac:dyDescent="0.25">
      <c r="A99" s="7">
        <v>100000000</v>
      </c>
      <c r="B99" s="8">
        <v>2.7E-2</v>
      </c>
      <c r="C99" s="8">
        <v>3.5999999999999997E-2</v>
      </c>
      <c r="D99" s="8">
        <v>4.0000000000000001E-3</v>
      </c>
      <c r="F99" s="7">
        <v>100000000</v>
      </c>
      <c r="G99" s="12">
        <v>2.7777777777777777</v>
      </c>
      <c r="H99" s="12">
        <f>G99/4*100</f>
        <v>69.444444444444443</v>
      </c>
    </row>
    <row r="100" spans="1:8" x14ac:dyDescent="0.25">
      <c r="A100" s="7">
        <v>1000000000</v>
      </c>
      <c r="B100" s="8">
        <v>5.6000000000000001E-2</v>
      </c>
      <c r="C100" s="8">
        <v>0.128</v>
      </c>
      <c r="D100" s="8" t="s">
        <v>7</v>
      </c>
      <c r="F100" s="7">
        <v>1000000000</v>
      </c>
      <c r="G100" s="12">
        <v>5.75</v>
      </c>
      <c r="H100" s="12">
        <f>G100/4*100</f>
        <v>143.75</v>
      </c>
    </row>
    <row r="101" spans="1:8" x14ac:dyDescent="0.25">
      <c r="A101" s="7">
        <v>10000000000</v>
      </c>
      <c r="B101" s="8">
        <v>0.108</v>
      </c>
      <c r="C101" s="8">
        <v>0.128</v>
      </c>
      <c r="D101" s="8" t="s">
        <v>7</v>
      </c>
      <c r="F101" s="7">
        <v>10000000000</v>
      </c>
      <c r="G101" s="12">
        <v>3.3518518518518516</v>
      </c>
      <c r="H101" s="12">
        <f>G101/4*100</f>
        <v>83.796296296296291</v>
      </c>
    </row>
    <row r="106" spans="1:8" x14ac:dyDescent="0.25">
      <c r="A106" s="9" t="s">
        <v>13</v>
      </c>
    </row>
    <row r="107" spans="1:8" x14ac:dyDescent="0.25">
      <c r="A107" s="7" t="s">
        <v>0</v>
      </c>
      <c r="B107" s="11" t="s">
        <v>3</v>
      </c>
      <c r="C107" s="5" t="s">
        <v>4</v>
      </c>
      <c r="D107" s="5" t="s">
        <v>5</v>
      </c>
      <c r="E107" s="5"/>
      <c r="F107" s="2" t="s">
        <v>0</v>
      </c>
      <c r="G107" t="s">
        <v>24</v>
      </c>
      <c r="H107" s="2" t="s">
        <v>25</v>
      </c>
    </row>
    <row r="108" spans="1:8" x14ac:dyDescent="0.25">
      <c r="A108" s="7">
        <v>10</v>
      </c>
      <c r="B108" s="8">
        <v>0.01</v>
      </c>
      <c r="C108" s="8" t="s">
        <v>7</v>
      </c>
      <c r="D108" s="8" t="s">
        <v>7</v>
      </c>
      <c r="F108" s="7">
        <v>10</v>
      </c>
      <c r="G108" s="12" cm="1">
        <f t="array" ref="G108:G117">B6:B15/B108:B117</f>
        <v>1.0999999999999999</v>
      </c>
      <c r="H108" s="12">
        <f>G108/4*100</f>
        <v>27.499999999999996</v>
      </c>
    </row>
    <row r="109" spans="1:8" x14ac:dyDescent="0.25">
      <c r="A109" s="7">
        <v>100</v>
      </c>
      <c r="B109" s="8">
        <v>0.01</v>
      </c>
      <c r="C109" s="8" t="s">
        <v>7</v>
      </c>
      <c r="D109" s="8" t="s">
        <v>7</v>
      </c>
      <c r="F109" s="7">
        <v>100</v>
      </c>
      <c r="G109" s="12">
        <v>0.7</v>
      </c>
      <c r="H109" s="12">
        <f>G109/4*100</f>
        <v>17.5</v>
      </c>
    </row>
    <row r="110" spans="1:8" x14ac:dyDescent="0.25">
      <c r="A110" s="7">
        <v>1000</v>
      </c>
      <c r="B110" s="8">
        <v>0.01</v>
      </c>
      <c r="C110" s="8" t="s">
        <v>7</v>
      </c>
      <c r="D110" s="8" t="s">
        <v>7</v>
      </c>
      <c r="F110" s="7">
        <v>1000</v>
      </c>
      <c r="G110" s="12">
        <v>1</v>
      </c>
      <c r="H110" s="12">
        <f>G110/4*100</f>
        <v>25</v>
      </c>
    </row>
    <row r="111" spans="1:8" x14ac:dyDescent="0.25">
      <c r="A111" s="7">
        <v>10000</v>
      </c>
      <c r="B111" s="8">
        <v>0.02</v>
      </c>
      <c r="C111" s="8" t="s">
        <v>7</v>
      </c>
      <c r="D111" s="8" t="s">
        <v>7</v>
      </c>
      <c r="F111" s="7">
        <v>10000</v>
      </c>
      <c r="G111" s="12">
        <v>0.54999999999999993</v>
      </c>
      <c r="H111" s="12">
        <f>G111/4*100</f>
        <v>13.749999999999998</v>
      </c>
    </row>
    <row r="112" spans="1:8" x14ac:dyDescent="0.25">
      <c r="A112" s="7">
        <v>100000</v>
      </c>
      <c r="B112" s="8">
        <v>0.02</v>
      </c>
      <c r="C112" s="8">
        <v>4.0000000000000001E-3</v>
      </c>
      <c r="D112" s="8" t="s">
        <v>7</v>
      </c>
      <c r="F112" s="7">
        <v>100000</v>
      </c>
      <c r="G112" s="12">
        <v>0.54999999999999993</v>
      </c>
      <c r="H112" s="12">
        <f>G112/4*100</f>
        <v>13.749999999999998</v>
      </c>
    </row>
    <row r="113" spans="1:8" x14ac:dyDescent="0.25">
      <c r="A113" s="7">
        <v>1000000</v>
      </c>
      <c r="B113" s="8">
        <v>0.03</v>
      </c>
      <c r="C113" s="8">
        <v>8.0000000000000002E-3</v>
      </c>
      <c r="D113" s="8" t="s">
        <v>7</v>
      </c>
      <c r="F113" s="7">
        <v>1000000</v>
      </c>
      <c r="G113" s="12">
        <v>0.5</v>
      </c>
      <c r="H113" s="12">
        <f>G113/4*100</f>
        <v>12.5</v>
      </c>
    </row>
    <row r="114" spans="1:8" x14ac:dyDescent="0.25">
      <c r="A114" s="7">
        <v>10000000</v>
      </c>
      <c r="B114" s="8">
        <v>0.04</v>
      </c>
      <c r="C114" s="8">
        <v>1.2E-2</v>
      </c>
      <c r="D114" s="8" t="s">
        <v>7</v>
      </c>
      <c r="F114" s="7">
        <v>10000000</v>
      </c>
      <c r="G114" s="12">
        <v>0.6</v>
      </c>
      <c r="H114" s="12">
        <f>G114/4*100</f>
        <v>15</v>
      </c>
    </row>
    <row r="115" spans="1:8" x14ac:dyDescent="0.25">
      <c r="A115" s="7">
        <v>100000000</v>
      </c>
      <c r="B115" s="8">
        <v>1.2E-2</v>
      </c>
      <c r="C115" s="8">
        <v>0.04</v>
      </c>
      <c r="D115" s="8" t="s">
        <v>7</v>
      </c>
      <c r="F115" s="7">
        <v>100000000</v>
      </c>
      <c r="G115" s="12">
        <v>6.25</v>
      </c>
      <c r="H115" s="12">
        <f>G115/4*100</f>
        <v>156.25</v>
      </c>
    </row>
    <row r="116" spans="1:8" x14ac:dyDescent="0.25">
      <c r="A116" s="7">
        <v>1000000000</v>
      </c>
      <c r="B116" s="8">
        <v>3.5999999999999997E-2</v>
      </c>
      <c r="C116" s="8">
        <v>0.13200000000000001</v>
      </c>
      <c r="D116" s="8">
        <v>4.0000000000000001E-3</v>
      </c>
      <c r="F116" s="7">
        <v>1000000000</v>
      </c>
      <c r="G116" s="12">
        <v>8.9444444444444446</v>
      </c>
      <c r="H116" s="12">
        <f>G116/4*100</f>
        <v>223.61111111111111</v>
      </c>
    </row>
    <row r="117" spans="1:8" x14ac:dyDescent="0.25">
      <c r="A117" s="7">
        <v>10000000000</v>
      </c>
      <c r="B117" s="8">
        <v>0.112</v>
      </c>
      <c r="C117" s="8">
        <v>0.42799999999999999</v>
      </c>
      <c r="D117" s="8" t="s">
        <v>7</v>
      </c>
      <c r="F117" s="7">
        <v>10000000000</v>
      </c>
      <c r="G117" s="12">
        <v>3.2321428571428568</v>
      </c>
      <c r="H117" s="12">
        <f>G117/4*100</f>
        <v>80.803571428571416</v>
      </c>
    </row>
    <row r="120" spans="1:8" x14ac:dyDescent="0.25">
      <c r="A120" t="s">
        <v>15</v>
      </c>
    </row>
    <row r="121" spans="1:8" x14ac:dyDescent="0.25">
      <c r="A121" t="s">
        <v>16</v>
      </c>
    </row>
    <row r="122" spans="1:8" x14ac:dyDescent="0.25">
      <c r="A122" t="s">
        <v>17</v>
      </c>
    </row>
    <row r="123" spans="1:8" x14ac:dyDescent="0.25">
      <c r="A123" t="s">
        <v>0</v>
      </c>
      <c r="B123" s="6" t="s">
        <v>3</v>
      </c>
      <c r="C123" s="6" t="s">
        <v>4</v>
      </c>
      <c r="D123" s="6" t="s">
        <v>5</v>
      </c>
      <c r="E123" s="6" t="s">
        <v>26</v>
      </c>
    </row>
    <row r="124" spans="1:8" x14ac:dyDescent="0.25">
      <c r="A124">
        <v>1000000000000</v>
      </c>
      <c r="B124">
        <v>0.44</v>
      </c>
      <c r="C124">
        <v>1.734</v>
      </c>
      <c r="D124" t="s">
        <v>7</v>
      </c>
      <c r="E124">
        <f>C124/B124</f>
        <v>3.9409090909090909</v>
      </c>
    </row>
    <row r="125" spans="1:8" x14ac:dyDescent="0.25">
      <c r="A125">
        <v>10000000000000</v>
      </c>
      <c r="B125">
        <v>1.488</v>
      </c>
      <c r="C125">
        <v>5.9219999999999997</v>
      </c>
      <c r="D125">
        <v>1.6E-2</v>
      </c>
      <c r="E125">
        <f t="shared" ref="E125:E131" si="0">C125/B125</f>
        <v>3.979838709677419</v>
      </c>
    </row>
    <row r="126" spans="1:8" x14ac:dyDescent="0.25">
      <c r="A126">
        <v>100000000000000</v>
      </c>
      <c r="B126">
        <v>4.5759999999999996</v>
      </c>
      <c r="C126">
        <v>17.672000000000001</v>
      </c>
      <c r="D126">
        <v>1.6E-2</v>
      </c>
      <c r="E126">
        <f t="shared" si="0"/>
        <v>3.8618881118881125</v>
      </c>
    </row>
    <row r="127" spans="1:8" x14ac:dyDescent="0.25">
      <c r="A127">
        <v>1000000000000000</v>
      </c>
      <c r="B127">
        <v>13.676</v>
      </c>
      <c r="C127">
        <v>52.578000000000003</v>
      </c>
      <c r="D127">
        <v>3.1E-2</v>
      </c>
      <c r="E127">
        <f t="shared" si="0"/>
        <v>3.8445451886516526</v>
      </c>
    </row>
    <row r="128" spans="1:8" x14ac:dyDescent="0.25">
      <c r="A128">
        <v>1E+16</v>
      </c>
      <c r="B128">
        <v>40.49</v>
      </c>
      <c r="C128">
        <f>2*60+33.891</f>
        <v>153.89099999999999</v>
      </c>
      <c r="D128">
        <v>6.3E-2</v>
      </c>
      <c r="E128">
        <f t="shared" si="0"/>
        <v>3.800716226228698</v>
      </c>
    </row>
    <row r="129" spans="1:5" x14ac:dyDescent="0.25">
      <c r="A129">
        <v>1E+17</v>
      </c>
      <c r="B129">
        <f>2*60 + 37.787</f>
        <v>157.78700000000001</v>
      </c>
      <c r="C129">
        <f>10*60+8.25</f>
        <v>608.25</v>
      </c>
      <c r="D129">
        <v>0.188</v>
      </c>
      <c r="E129">
        <f t="shared" si="0"/>
        <v>3.8548803133337981</v>
      </c>
    </row>
    <row r="130" spans="1:5" x14ac:dyDescent="0.25">
      <c r="A130">
        <v>1E+18</v>
      </c>
      <c r="B130">
        <f>8*37+13.699</f>
        <v>309.69900000000001</v>
      </c>
      <c r="C130">
        <f>32*60+8.984</f>
        <v>1928.9839999999999</v>
      </c>
      <c r="D130">
        <v>0.64100000000000001</v>
      </c>
      <c r="E130">
        <f t="shared" si="0"/>
        <v>6.2285767793890194</v>
      </c>
    </row>
    <row r="131" spans="1:5" x14ac:dyDescent="0.25">
      <c r="A131">
        <v>1E+19</v>
      </c>
      <c r="B131">
        <f>22*60+27.967</f>
        <v>1347.9670000000001</v>
      </c>
      <c r="C131">
        <f>88*60+43.563</f>
        <v>5323.5630000000001</v>
      </c>
      <c r="D131">
        <f>2.141</f>
        <v>2.141</v>
      </c>
      <c r="E131">
        <f t="shared" si="0"/>
        <v>3.9493273945133671</v>
      </c>
    </row>
    <row r="133" spans="1:5" x14ac:dyDescent="0.25">
      <c r="A133" t="s">
        <v>18</v>
      </c>
    </row>
    <row r="134" spans="1:5" x14ac:dyDescent="0.25">
      <c r="A134" t="s">
        <v>0</v>
      </c>
      <c r="B134" t="s">
        <v>3</v>
      </c>
      <c r="C134" t="s">
        <v>4</v>
      </c>
      <c r="D134" t="s">
        <v>5</v>
      </c>
    </row>
    <row r="135" spans="1:5" x14ac:dyDescent="0.25">
      <c r="A135">
        <v>1000000000000</v>
      </c>
      <c r="B135">
        <v>0.28299999999999997</v>
      </c>
      <c r="C135">
        <v>2.109</v>
      </c>
      <c r="D135" t="s">
        <v>7</v>
      </c>
      <c r="E135">
        <f>C135/B135</f>
        <v>7.4522968197879864</v>
      </c>
    </row>
    <row r="136" spans="1:5" x14ac:dyDescent="0.25">
      <c r="A136">
        <v>10000000000000</v>
      </c>
      <c r="B136">
        <v>1.0309999999999999</v>
      </c>
      <c r="C136">
        <v>7.6559999999999997</v>
      </c>
      <c r="D136">
        <v>3.1E-2</v>
      </c>
      <c r="E136">
        <f t="shared" ref="E136:E142" si="1">C136/B136</f>
        <v>7.4258001939864213</v>
      </c>
    </row>
    <row r="137" spans="1:5" x14ac:dyDescent="0.25">
      <c r="A137">
        <v>100000000000000</v>
      </c>
      <c r="B137">
        <v>3.1640000000000001</v>
      </c>
      <c r="C137">
        <v>22.797000000000001</v>
      </c>
      <c r="D137">
        <v>4.7E-2</v>
      </c>
      <c r="E137">
        <f t="shared" si="1"/>
        <v>7.2051201011378003</v>
      </c>
    </row>
    <row r="138" spans="1:5" x14ac:dyDescent="0.25">
      <c r="A138">
        <v>1000000000000000</v>
      </c>
      <c r="B138">
        <v>8.8089999999999993</v>
      </c>
      <c r="C138">
        <f>60+7.266</f>
        <v>67.266000000000005</v>
      </c>
      <c r="D138">
        <v>4.7E-2</v>
      </c>
      <c r="E138">
        <f t="shared" si="1"/>
        <v>7.6360540356453637</v>
      </c>
    </row>
    <row r="139" spans="1:5" x14ac:dyDescent="0.25">
      <c r="A139">
        <v>1E+16</v>
      </c>
      <c r="B139">
        <f>26.272</f>
        <v>26.271999999999998</v>
      </c>
      <c r="C139">
        <f>3*60+22.234</f>
        <v>202.23400000000001</v>
      </c>
      <c r="D139">
        <v>3.1E-2</v>
      </c>
      <c r="E139">
        <f t="shared" si="1"/>
        <v>7.697700974421438</v>
      </c>
    </row>
    <row r="140" spans="1:5" x14ac:dyDescent="0.25">
      <c r="A140">
        <v>1E+17</v>
      </c>
      <c r="B140">
        <f>60+38.431</f>
        <v>98.430999999999997</v>
      </c>
      <c r="C140">
        <f>12*60+15.969</f>
        <v>735.96900000000005</v>
      </c>
      <c r="D140">
        <v>0.45300000000000001</v>
      </c>
      <c r="E140">
        <f>C140/B140</f>
        <v>7.4770041958326141</v>
      </c>
    </row>
    <row r="141" spans="1:5" x14ac:dyDescent="0.25">
      <c r="A141">
        <v>1E+18</v>
      </c>
      <c r="B141">
        <f>5*42 + 42.232</f>
        <v>252.232</v>
      </c>
      <c r="C141">
        <f>39*60+54.875</f>
        <v>2394.875</v>
      </c>
      <c r="D141">
        <v>2.141</v>
      </c>
      <c r="E141">
        <f t="shared" si="1"/>
        <v>9.4947310412635986</v>
      </c>
    </row>
    <row r="142" spans="1:5" x14ac:dyDescent="0.25">
      <c r="A142">
        <v>1E+19</v>
      </c>
      <c r="B142">
        <f>15*60+54.517</f>
        <v>954.51700000000005</v>
      </c>
      <c r="C142">
        <f>119*60+2.172</f>
        <v>7142.1719999999996</v>
      </c>
      <c r="D142">
        <f>3.672</f>
        <v>3.6720000000000002</v>
      </c>
      <c r="E142">
        <f t="shared" si="1"/>
        <v>7.4824984782879707</v>
      </c>
    </row>
    <row r="145" spans="1:5" x14ac:dyDescent="0.25">
      <c r="A145" s="4" t="s">
        <v>19</v>
      </c>
      <c r="B145" s="4"/>
      <c r="C145" s="4"/>
      <c r="D145" s="4"/>
    </row>
    <row r="146" spans="1:5" x14ac:dyDescent="0.25">
      <c r="A146" s="4" t="s">
        <v>0</v>
      </c>
      <c r="B146" s="4" t="s">
        <v>3</v>
      </c>
      <c r="C146" s="4" t="s">
        <v>4</v>
      </c>
      <c r="D146" s="4" t="s">
        <v>5</v>
      </c>
    </row>
    <row r="147" spans="1:5" x14ac:dyDescent="0.25">
      <c r="A147">
        <v>1000000000000</v>
      </c>
      <c r="B147" s="4">
        <v>0.27700000000000002</v>
      </c>
      <c r="C147" s="4">
        <v>1.7030000000000001</v>
      </c>
      <c r="D147" s="4">
        <v>1.6E-2</v>
      </c>
      <c r="E147">
        <f>C147/B147</f>
        <v>6.1480144404332124</v>
      </c>
    </row>
    <row r="148" spans="1:5" x14ac:dyDescent="0.25">
      <c r="A148">
        <v>10000000000000</v>
      </c>
      <c r="B148" s="4">
        <v>0.92500000000000004</v>
      </c>
      <c r="C148" s="4">
        <v>5.4690000000000003</v>
      </c>
      <c r="D148" s="4">
        <v>1.6E-2</v>
      </c>
      <c r="E148">
        <f t="shared" ref="E148:E154" si="2">C148/B148</f>
        <v>5.9124324324324329</v>
      </c>
    </row>
    <row r="149" spans="1:5" x14ac:dyDescent="0.25">
      <c r="A149">
        <v>100000000000000</v>
      </c>
      <c r="B149" s="4">
        <v>3.1789999999999998</v>
      </c>
      <c r="C149" s="4">
        <v>18.594000000000001</v>
      </c>
      <c r="D149" s="4">
        <v>3.1E-2</v>
      </c>
      <c r="E149">
        <f t="shared" si="2"/>
        <v>5.8490091223655245</v>
      </c>
    </row>
    <row r="150" spans="1:5" x14ac:dyDescent="0.25">
      <c r="A150">
        <v>1000000000000000</v>
      </c>
      <c r="B150" s="4">
        <v>8.7710000000000008</v>
      </c>
      <c r="C150" s="4">
        <f>60+0.766</f>
        <v>60.765999999999998</v>
      </c>
      <c r="D150" s="4">
        <f>0.047</f>
        <v>4.7E-2</v>
      </c>
      <c r="E150">
        <f t="shared" si="2"/>
        <v>6.9280583741876631</v>
      </c>
    </row>
    <row r="151" spans="1:5" x14ac:dyDescent="0.25">
      <c r="A151">
        <v>1E+16</v>
      </c>
      <c r="B151" s="4">
        <f>26.867</f>
        <v>26.867000000000001</v>
      </c>
      <c r="C151" s="4">
        <f>3*60+15.078</f>
        <v>195.078</v>
      </c>
      <c r="D151" s="4">
        <v>3.1E-2</v>
      </c>
      <c r="E151">
        <f t="shared" si="2"/>
        <v>7.260877656604757</v>
      </c>
    </row>
    <row r="152" spans="1:5" x14ac:dyDescent="0.25">
      <c r="A152">
        <v>1E+17</v>
      </c>
      <c r="B152" s="4">
        <f>60+38.139</f>
        <v>98.13900000000001</v>
      </c>
      <c r="C152" s="4">
        <f>12*60+2.281</f>
        <v>722.28099999999995</v>
      </c>
      <c r="D152" s="4">
        <f>0.422</f>
        <v>0.42199999999999999</v>
      </c>
      <c r="E152">
        <f>C152/B152</f>
        <v>7.3597754205769359</v>
      </c>
    </row>
    <row r="153" spans="1:5" x14ac:dyDescent="0.25">
      <c r="A153">
        <v>1E+18</v>
      </c>
      <c r="B153" s="4">
        <f>5*60+13.463</f>
        <v>313.46300000000002</v>
      </c>
      <c r="C153" s="4">
        <f>39*60+23.922</f>
        <v>2363.922</v>
      </c>
      <c r="D153" s="4">
        <v>1.4530000000000001</v>
      </c>
      <c r="E153">
        <f t="shared" si="2"/>
        <v>7.5413110957274059</v>
      </c>
    </row>
    <row r="154" spans="1:5" x14ac:dyDescent="0.25">
      <c r="A154">
        <v>1E+19</v>
      </c>
      <c r="B154" s="4">
        <f>15*60+36.473</f>
        <v>936.47299999999996</v>
      </c>
      <c r="C154" s="4">
        <f>118*60+38.156</f>
        <v>7118.1559999999999</v>
      </c>
      <c r="D154" s="4">
        <f>3.531</f>
        <v>3.5310000000000001</v>
      </c>
      <c r="E154">
        <f t="shared" si="2"/>
        <v>7.6010264043917983</v>
      </c>
    </row>
    <row r="157" spans="1:5" x14ac:dyDescent="0.25">
      <c r="A157" s="4" t="s">
        <v>20</v>
      </c>
      <c r="B157" s="4"/>
      <c r="C157" s="4"/>
      <c r="D157" s="4"/>
    </row>
    <row r="158" spans="1:5" x14ac:dyDescent="0.25">
      <c r="A158" s="4" t="s">
        <v>0</v>
      </c>
      <c r="B158" s="4" t="s">
        <v>3</v>
      </c>
      <c r="C158" s="4" t="s">
        <v>4</v>
      </c>
      <c r="D158" s="4" t="s">
        <v>5</v>
      </c>
    </row>
    <row r="159" spans="1:5" x14ac:dyDescent="0.25">
      <c r="A159">
        <v>1000000000000</v>
      </c>
      <c r="B159" s="4">
        <v>0.29199999999999998</v>
      </c>
      <c r="C159" s="4">
        <v>1.9059999999999999</v>
      </c>
      <c r="D159" s="4">
        <v>1.6E-2</v>
      </c>
      <c r="E159">
        <f>C159/B159</f>
        <v>6.5273972602739727</v>
      </c>
    </row>
    <row r="160" spans="1:5" x14ac:dyDescent="0.25">
      <c r="A160">
        <v>10000000000000</v>
      </c>
      <c r="B160" s="4">
        <v>0.92900000000000005</v>
      </c>
      <c r="C160" s="4">
        <v>5.4690000000000003</v>
      </c>
      <c r="D160" s="4">
        <v>1.6E-2</v>
      </c>
      <c r="E160">
        <f t="shared" ref="E160:E166" si="3">C160/B160</f>
        <v>5.8869752421959092</v>
      </c>
    </row>
    <row r="161" spans="1:5" x14ac:dyDescent="0.25">
      <c r="A161">
        <v>100000000000000</v>
      </c>
      <c r="B161" s="4">
        <v>3.0219999999999998</v>
      </c>
      <c r="C161" s="4">
        <v>18.562999999999999</v>
      </c>
      <c r="D161" s="4">
        <v>7.8E-2</v>
      </c>
      <c r="E161">
        <f t="shared" si="3"/>
        <v>6.142620780939775</v>
      </c>
    </row>
    <row r="162" spans="1:5" x14ac:dyDescent="0.25">
      <c r="A162">
        <v>1000000000000000</v>
      </c>
      <c r="B162" s="4">
        <v>8.5210000000000008</v>
      </c>
      <c r="C162" s="4">
        <f>60+0.844</f>
        <v>60.844000000000001</v>
      </c>
      <c r="D162" s="4">
        <v>7.8E-2</v>
      </c>
      <c r="E162">
        <f t="shared" si="3"/>
        <v>7.1404764698978989</v>
      </c>
    </row>
    <row r="163" spans="1:5" x14ac:dyDescent="0.25">
      <c r="A163">
        <v>1E+16</v>
      </c>
      <c r="B163" s="4">
        <f>26.424</f>
        <v>26.423999999999999</v>
      </c>
      <c r="C163" s="4">
        <f>3*60+15.938</f>
        <v>195.93799999999999</v>
      </c>
      <c r="D163" s="4">
        <v>0.125</v>
      </c>
      <c r="E163">
        <f t="shared" si="3"/>
        <v>7.415152891310929</v>
      </c>
    </row>
    <row r="164" spans="1:5" x14ac:dyDescent="0.25">
      <c r="A164">
        <v>1E+17</v>
      </c>
      <c r="B164" s="4">
        <f>60+37.493</f>
        <v>97.492999999999995</v>
      </c>
      <c r="C164" s="4">
        <f>12*60+12.859</f>
        <v>732.85900000000004</v>
      </c>
      <c r="D164" s="4">
        <v>0.40600000000000003</v>
      </c>
      <c r="E164">
        <f>C164/B164</f>
        <v>7.5170422491871216</v>
      </c>
    </row>
    <row r="165" spans="1:5" x14ac:dyDescent="0.25">
      <c r="A165">
        <v>1E+18</v>
      </c>
      <c r="B165" s="4">
        <f>5*60+11.467</f>
        <v>311.46699999999998</v>
      </c>
      <c r="C165" s="4">
        <f>39*60+43.031</f>
        <v>2383.0309999999999</v>
      </c>
      <c r="D165" s="4">
        <v>0.96899999999999997</v>
      </c>
      <c r="E165">
        <f t="shared" si="3"/>
        <v>7.6509903135805724</v>
      </c>
    </row>
    <row r="166" spans="1:5" x14ac:dyDescent="0.25">
      <c r="A166">
        <v>1E+19</v>
      </c>
      <c r="B166" s="4">
        <f>15*50+30.685</f>
        <v>780.68499999999995</v>
      </c>
      <c r="C166" s="4">
        <f>118*60+12.219</f>
        <v>7092.2190000000001</v>
      </c>
      <c r="D166" s="4">
        <v>4.125</v>
      </c>
      <c r="E166">
        <f t="shared" si="3"/>
        <v>9.0846103101763198</v>
      </c>
    </row>
    <row r="170" spans="1:5" x14ac:dyDescent="0.25">
      <c r="A170" s="4" t="s">
        <v>21</v>
      </c>
      <c r="B170" s="4"/>
      <c r="C170" s="4"/>
      <c r="D170" s="4"/>
    </row>
    <row r="171" spans="1:5" x14ac:dyDescent="0.25">
      <c r="A171" s="4" t="s">
        <v>0</v>
      </c>
      <c r="B171" s="4" t="s">
        <v>3</v>
      </c>
      <c r="C171" s="4" t="s">
        <v>4</v>
      </c>
      <c r="D171" s="4" t="s">
        <v>5</v>
      </c>
    </row>
    <row r="172" spans="1:5" x14ac:dyDescent="0.25">
      <c r="A172">
        <v>1000000000000</v>
      </c>
      <c r="B172" s="4">
        <v>0.312</v>
      </c>
      <c r="C172" s="4">
        <v>1.766</v>
      </c>
      <c r="D172" s="4">
        <v>1.6E-2</v>
      </c>
      <c r="E172">
        <f>C172/B172</f>
        <v>5.6602564102564106</v>
      </c>
    </row>
    <row r="173" spans="1:5" x14ac:dyDescent="0.25">
      <c r="A173">
        <v>10000000000000</v>
      </c>
      <c r="B173" s="4">
        <v>1.028</v>
      </c>
      <c r="C173" s="4">
        <f>5.891</f>
        <v>5.891</v>
      </c>
      <c r="D173" s="4" t="s">
        <v>7</v>
      </c>
      <c r="E173">
        <f t="shared" ref="E173:E179" si="4">C173/B173</f>
        <v>5.7305447470817121</v>
      </c>
    </row>
    <row r="174" spans="1:5" x14ac:dyDescent="0.25">
      <c r="A174">
        <v>100000000000000</v>
      </c>
      <c r="B174" s="4">
        <v>3.18</v>
      </c>
      <c r="C174" s="4">
        <v>19.344000000000001</v>
      </c>
      <c r="D174" s="4">
        <v>7.8E-2</v>
      </c>
      <c r="E174">
        <f t="shared" si="4"/>
        <v>6.0830188679245287</v>
      </c>
    </row>
    <row r="175" spans="1:5" x14ac:dyDescent="0.25">
      <c r="A175">
        <v>1000000000000000</v>
      </c>
      <c r="B175" s="4">
        <v>8.5980000000000008</v>
      </c>
      <c r="C175" s="4">
        <f>60+1.828</f>
        <v>61.828000000000003</v>
      </c>
      <c r="D175" s="4">
        <v>6.3E-2</v>
      </c>
      <c r="E175">
        <f t="shared" si="4"/>
        <v>7.1909746452663406</v>
      </c>
    </row>
    <row r="176" spans="1:5" x14ac:dyDescent="0.25">
      <c r="A176">
        <v>1E+16</v>
      </c>
      <c r="B176" s="4">
        <v>26.736000000000001</v>
      </c>
      <c r="C176" s="4">
        <f>3*60+14.016</f>
        <v>194.01599999999999</v>
      </c>
      <c r="D176" s="4">
        <v>6.3E-2</v>
      </c>
      <c r="E176">
        <f t="shared" si="4"/>
        <v>7.2567324955116694</v>
      </c>
    </row>
    <row r="177" spans="1:5" x14ac:dyDescent="0.25">
      <c r="A177">
        <v>1E+17</v>
      </c>
      <c r="B177" s="4">
        <f>60*1 + 35.704</f>
        <v>95.704000000000008</v>
      </c>
      <c r="C177" s="4">
        <f>12*60+10.172</f>
        <v>730.17200000000003</v>
      </c>
      <c r="D177" s="4">
        <v>0.25</v>
      </c>
      <c r="E177">
        <f>C177/B177</f>
        <v>7.6294825712613887</v>
      </c>
    </row>
    <row r="178" spans="1:5" x14ac:dyDescent="0.25">
      <c r="A178">
        <v>1E+18</v>
      </c>
      <c r="B178" s="4">
        <f>5*60+1.96</f>
        <v>301.95999999999998</v>
      </c>
      <c r="C178" s="4">
        <f>39*60+28.188</f>
        <v>2368.1880000000001</v>
      </c>
      <c r="D178" s="4">
        <f>0.344</f>
        <v>0.34399999999999997</v>
      </c>
      <c r="E178">
        <f t="shared" si="4"/>
        <v>7.8427208901841317</v>
      </c>
    </row>
    <row r="179" spans="1:5" x14ac:dyDescent="0.25">
      <c r="A179">
        <v>1E+19</v>
      </c>
      <c r="B179" s="4">
        <f>14*60+54.945</f>
        <v>894.94500000000005</v>
      </c>
      <c r="C179" s="4">
        <f>117*60+9.172</f>
        <v>7029.1719999999996</v>
      </c>
      <c r="D179" s="4">
        <f>1.047</f>
        <v>1.0469999999999999</v>
      </c>
      <c r="E179">
        <f t="shared" si="4"/>
        <v>7.8543061305443338</v>
      </c>
    </row>
    <row r="182" spans="1:5" x14ac:dyDescent="0.25">
      <c r="A182" s="4" t="s">
        <v>22</v>
      </c>
      <c r="B182" s="4"/>
      <c r="C182" s="4"/>
      <c r="D182" s="4"/>
    </row>
    <row r="183" spans="1:5" x14ac:dyDescent="0.25">
      <c r="A183" s="4" t="s">
        <v>0</v>
      </c>
      <c r="B183" s="4" t="s">
        <v>3</v>
      </c>
      <c r="C183" s="4" t="s">
        <v>4</v>
      </c>
      <c r="D183" s="4" t="s">
        <v>5</v>
      </c>
    </row>
    <row r="184" spans="1:5" x14ac:dyDescent="0.25">
      <c r="A184">
        <v>1000000000000</v>
      </c>
      <c r="B184" s="4">
        <v>0.27200000000000002</v>
      </c>
      <c r="C184" s="4">
        <v>1.9379999999999999</v>
      </c>
      <c r="D184" s="4">
        <v>4.7E-2</v>
      </c>
      <c r="E184">
        <f>C184/B184</f>
        <v>7.1249999999999991</v>
      </c>
    </row>
    <row r="185" spans="1:5" x14ac:dyDescent="0.25">
      <c r="A185">
        <v>10000000000000</v>
      </c>
      <c r="B185" s="4">
        <v>0.85799999999999998</v>
      </c>
      <c r="C185" s="4">
        <v>5.3129999999999997</v>
      </c>
      <c r="D185" s="4">
        <v>0.14099999999999999</v>
      </c>
      <c r="E185">
        <f t="shared" ref="E185:E191" si="5">C185/B185</f>
        <v>6.1923076923076925</v>
      </c>
    </row>
    <row r="186" spans="1:5" x14ac:dyDescent="0.25">
      <c r="A186">
        <v>100000000000000</v>
      </c>
      <c r="B186" s="4">
        <v>3.0350000000000001</v>
      </c>
      <c r="C186" s="4">
        <v>18.984000000000002</v>
      </c>
      <c r="D186" s="4">
        <v>0.109</v>
      </c>
      <c r="E186">
        <f t="shared" si="5"/>
        <v>6.25502471169687</v>
      </c>
    </row>
    <row r="187" spans="1:5" x14ac:dyDescent="0.25">
      <c r="A187">
        <v>1000000000000000</v>
      </c>
      <c r="B187" s="4">
        <v>7.9870000000000001</v>
      </c>
      <c r="C187" s="4">
        <f>60+1.578</f>
        <v>61.578000000000003</v>
      </c>
      <c r="D187" s="4">
        <v>0.17199999999999999</v>
      </c>
      <c r="E187">
        <f t="shared" si="5"/>
        <v>7.709778389883561</v>
      </c>
    </row>
    <row r="188" spans="1:5" x14ac:dyDescent="0.25">
      <c r="A188">
        <v>1E+16</v>
      </c>
      <c r="B188" s="4">
        <v>24.951000000000001</v>
      </c>
      <c r="C188" s="4">
        <f>3*60+13.375</f>
        <v>193.375</v>
      </c>
      <c r="D188" s="4">
        <v>4.7E-2</v>
      </c>
      <c r="E188">
        <f t="shared" si="5"/>
        <v>7.7501903731313373</v>
      </c>
    </row>
    <row r="189" spans="1:5" x14ac:dyDescent="0.25">
      <c r="A189">
        <v>1E+17</v>
      </c>
      <c r="B189" s="4">
        <f>60+32.854</f>
        <v>92.853999999999999</v>
      </c>
      <c r="C189" s="4">
        <f>12*60+6.969</f>
        <v>726.96900000000005</v>
      </c>
      <c r="D189" s="4">
        <f>0.156</f>
        <v>0.156</v>
      </c>
      <c r="E189">
        <f>C189/B189</f>
        <v>7.8291619100954195</v>
      </c>
    </row>
    <row r="190" spans="1:5" x14ac:dyDescent="0.25">
      <c r="A190">
        <v>1E+18</v>
      </c>
      <c r="B190" s="4">
        <f>5*60+1.717</f>
        <v>301.71699999999998</v>
      </c>
      <c r="C190" s="4">
        <f>39*60+27.609</f>
        <v>2367.6089999999999</v>
      </c>
      <c r="D190" s="4">
        <f>0.391</f>
        <v>0.39100000000000001</v>
      </c>
      <c r="E190">
        <f t="shared" si="5"/>
        <v>7.8471183261135433</v>
      </c>
    </row>
    <row r="191" spans="1:5" x14ac:dyDescent="0.25">
      <c r="A191">
        <v>1E+19</v>
      </c>
      <c r="B191" s="4">
        <f>14*60+53.394</f>
        <v>893.39400000000001</v>
      </c>
      <c r="C191" s="4">
        <f>117*60+4.375</f>
        <v>7024.375</v>
      </c>
      <c r="D191" s="4">
        <v>1.1879999999999999</v>
      </c>
      <c r="E191">
        <f t="shared" si="5"/>
        <v>7.8625723924718542</v>
      </c>
    </row>
    <row r="195" spans="1:5" x14ac:dyDescent="0.25">
      <c r="A195" t="s">
        <v>23</v>
      </c>
    </row>
    <row r="196" spans="1:5" x14ac:dyDescent="0.25">
      <c r="A196" s="4" t="s">
        <v>17</v>
      </c>
      <c r="B196" s="4"/>
      <c r="C196" s="4"/>
      <c r="D196" s="4"/>
    </row>
    <row r="197" spans="1:5" x14ac:dyDescent="0.25">
      <c r="A197" s="4" t="s">
        <v>0</v>
      </c>
      <c r="B197" s="4" t="s">
        <v>3</v>
      </c>
      <c r="C197" s="4" t="s">
        <v>4</v>
      </c>
      <c r="D197" s="4" t="s">
        <v>5</v>
      </c>
    </row>
    <row r="198" spans="1:5" x14ac:dyDescent="0.25">
      <c r="A198">
        <v>1000000000000</v>
      </c>
      <c r="B198" s="4">
        <v>0.33</v>
      </c>
      <c r="C198" s="4">
        <v>1.304</v>
      </c>
      <c r="D198" s="4">
        <v>4.0000000000000001E-3</v>
      </c>
      <c r="E198">
        <f>C198/B198</f>
        <v>3.9515151515151516</v>
      </c>
    </row>
    <row r="199" spans="1:5" x14ac:dyDescent="0.25">
      <c r="A199">
        <v>10000000000000</v>
      </c>
      <c r="B199" s="4">
        <v>1.04</v>
      </c>
      <c r="C199" s="4">
        <v>4.1440000000000001</v>
      </c>
      <c r="D199" s="4">
        <v>0.04</v>
      </c>
      <c r="E199">
        <f t="shared" ref="E199:E205" si="6">C199/B199</f>
        <v>3.9846153846153847</v>
      </c>
    </row>
    <row r="200" spans="1:5" x14ac:dyDescent="0.25">
      <c r="A200">
        <v>100000000000000</v>
      </c>
      <c r="B200" s="4">
        <v>3.573</v>
      </c>
      <c r="C200" s="4">
        <v>13.916</v>
      </c>
      <c r="D200" s="4">
        <v>1.2E-2</v>
      </c>
      <c r="E200">
        <f t="shared" si="6"/>
        <v>3.8947663028267563</v>
      </c>
    </row>
    <row r="201" spans="1:5" x14ac:dyDescent="0.25">
      <c r="A201">
        <v>1000000000000000</v>
      </c>
      <c r="B201" s="4">
        <v>13.641999999999999</v>
      </c>
      <c r="C201" s="4">
        <v>43.695999999999998</v>
      </c>
      <c r="D201" s="4" t="s">
        <v>7</v>
      </c>
      <c r="E201">
        <f t="shared" si="6"/>
        <v>3.2030494062454187</v>
      </c>
    </row>
    <row r="202" spans="1:5" x14ac:dyDescent="0.25">
      <c r="A202">
        <v>1E+16</v>
      </c>
      <c r="B202" s="4">
        <f>60+18.421</f>
        <v>78.420999999999992</v>
      </c>
      <c r="C202" s="4">
        <f>120+20.764</f>
        <v>140.76400000000001</v>
      </c>
      <c r="D202" s="4">
        <v>3.2000000000000001E-2</v>
      </c>
      <c r="E202">
        <f t="shared" si="6"/>
        <v>1.7949783858915345</v>
      </c>
    </row>
    <row r="203" spans="1:5" x14ac:dyDescent="0.25">
      <c r="A203">
        <v>1E+17</v>
      </c>
      <c r="B203" s="4">
        <f>3*60+42.604</f>
        <v>222.60399999999998</v>
      </c>
      <c r="C203" s="4">
        <f>9*60+53.792</f>
        <v>593.79200000000003</v>
      </c>
      <c r="D203" s="4">
        <v>8.7999999999999995E-2</v>
      </c>
      <c r="E203">
        <f>C203/B203</f>
        <v>2.6674812671829802</v>
      </c>
    </row>
    <row r="204" spans="1:5" x14ac:dyDescent="0.25">
      <c r="A204">
        <v>1E+18</v>
      </c>
      <c r="B204" s="4">
        <f>10*60+44.305</f>
        <v>644.30499999999995</v>
      </c>
      <c r="C204" s="4">
        <f>30*60+50.184</f>
        <v>1850.184</v>
      </c>
      <c r="D204" s="4">
        <f>5.672</f>
        <v>5.6719999999999997</v>
      </c>
      <c r="E204">
        <f t="shared" si="6"/>
        <v>2.8715965264897836</v>
      </c>
    </row>
    <row r="205" spans="1:5" x14ac:dyDescent="0.25">
      <c r="A205">
        <v>1E+19</v>
      </c>
      <c r="B205" s="4">
        <f>20*60+25.618</f>
        <v>1225.6179999999999</v>
      </c>
      <c r="C205" s="4">
        <f>80*60+31.24</f>
        <v>4831.24</v>
      </c>
      <c r="D205" s="4">
        <v>0.39600000000000002</v>
      </c>
      <c r="E205">
        <f t="shared" si="6"/>
        <v>3.9418807491404335</v>
      </c>
    </row>
    <row r="208" spans="1:5" x14ac:dyDescent="0.25">
      <c r="A208" s="4" t="s">
        <v>18</v>
      </c>
      <c r="B208" s="4"/>
      <c r="C208" s="4"/>
      <c r="D208" s="4"/>
    </row>
    <row r="209" spans="1:5" x14ac:dyDescent="0.25">
      <c r="A209" s="4" t="s">
        <v>0</v>
      </c>
      <c r="B209" s="4" t="s">
        <v>3</v>
      </c>
      <c r="C209" s="4" t="s">
        <v>4</v>
      </c>
      <c r="D209" s="4" t="s">
        <v>5</v>
      </c>
    </row>
    <row r="210" spans="1:5" x14ac:dyDescent="0.25">
      <c r="A210">
        <v>1000000000000</v>
      </c>
      <c r="B210" s="4">
        <v>0.35199999999999998</v>
      </c>
      <c r="C210" s="4">
        <v>1.212</v>
      </c>
      <c r="D210" s="4">
        <v>1.2E-2</v>
      </c>
      <c r="E210">
        <f>C210/B210</f>
        <v>3.4431818181818183</v>
      </c>
    </row>
    <row r="211" spans="1:5" x14ac:dyDescent="0.25">
      <c r="A211">
        <v>10000000000000</v>
      </c>
      <c r="B211" s="4">
        <v>1.042</v>
      </c>
      <c r="C211" s="4">
        <v>3.98</v>
      </c>
      <c r="D211" s="4">
        <v>8.0000000000000002E-3</v>
      </c>
      <c r="E211">
        <f t="shared" ref="E211:E217" si="7">C211/B211</f>
        <v>3.81957773512476</v>
      </c>
    </row>
    <row r="212" spans="1:5" x14ac:dyDescent="0.25">
      <c r="A212">
        <v>100000000000000</v>
      </c>
      <c r="B212" s="4">
        <v>3.7650000000000001</v>
      </c>
      <c r="C212" s="4">
        <v>13.156000000000001</v>
      </c>
      <c r="D212" s="4">
        <v>8.0000000000000002E-3</v>
      </c>
      <c r="E212">
        <f t="shared" si="7"/>
        <v>3.4942895086321379</v>
      </c>
    </row>
    <row r="213" spans="1:5" x14ac:dyDescent="0.25">
      <c r="A213">
        <v>1000000000000000</v>
      </c>
      <c r="B213" s="4">
        <v>11.256</v>
      </c>
      <c r="C213" s="4">
        <v>42.276000000000003</v>
      </c>
      <c r="D213" s="4">
        <v>2.8000000000000001E-2</v>
      </c>
      <c r="E213">
        <f t="shared" si="7"/>
        <v>3.7558635394456292</v>
      </c>
    </row>
    <row r="214" spans="1:5" x14ac:dyDescent="0.25">
      <c r="A214">
        <v>1E+16</v>
      </c>
      <c r="B214" s="4">
        <v>35.274999999999999</v>
      </c>
      <c r="C214" s="4">
        <f>120+16.824</f>
        <v>136.82400000000001</v>
      </c>
      <c r="D214" s="4">
        <v>1.2E-2</v>
      </c>
      <c r="E214">
        <f t="shared" si="7"/>
        <v>3.8787810063784556</v>
      </c>
    </row>
    <row r="215" spans="1:5" x14ac:dyDescent="0.25">
      <c r="A215">
        <v>1E+17</v>
      </c>
      <c r="B215" s="4">
        <f>120+28.135</f>
        <v>148.13499999999999</v>
      </c>
      <c r="C215" s="4">
        <f>9*60+47.36</f>
        <v>587.36</v>
      </c>
      <c r="D215" s="4">
        <f>0.028</f>
        <v>2.8000000000000001E-2</v>
      </c>
      <c r="E215">
        <f>C215/B215</f>
        <v>3.9650318965808218</v>
      </c>
    </row>
    <row r="216" spans="1:5" x14ac:dyDescent="0.25">
      <c r="A216">
        <v>1E+18</v>
      </c>
      <c r="B216" s="4">
        <f>7*60+39.255</f>
        <v>459.255</v>
      </c>
      <c r="C216" s="4">
        <f>30*60+32.532</f>
        <v>1832.5319999999999</v>
      </c>
      <c r="D216" s="4">
        <f>0.024</f>
        <v>2.4E-2</v>
      </c>
      <c r="E216">
        <f t="shared" si="7"/>
        <v>3.9902276513048305</v>
      </c>
    </row>
    <row r="217" spans="1:5" x14ac:dyDescent="0.25">
      <c r="A217">
        <v>1E+19</v>
      </c>
      <c r="B217" s="4">
        <f>20*60+7.721</f>
        <v>1207.721</v>
      </c>
      <c r="C217" s="4">
        <f>80*60+21.036</f>
        <v>4821.0360000000001</v>
      </c>
      <c r="D217" s="4">
        <v>0.92400000000000004</v>
      </c>
      <c r="E217">
        <f t="shared" si="7"/>
        <v>3.9918457988227414</v>
      </c>
    </row>
    <row r="220" spans="1:5" x14ac:dyDescent="0.25">
      <c r="A220" s="4" t="s">
        <v>19</v>
      </c>
      <c r="B220" s="4"/>
      <c r="C220" s="4"/>
      <c r="D220" s="4"/>
    </row>
    <row r="221" spans="1:5" x14ac:dyDescent="0.25">
      <c r="A221" s="4" t="s">
        <v>0</v>
      </c>
      <c r="B221" s="4" t="s">
        <v>3</v>
      </c>
      <c r="C221" s="4" t="s">
        <v>4</v>
      </c>
      <c r="D221" s="4" t="s">
        <v>5</v>
      </c>
    </row>
    <row r="222" spans="1:5" x14ac:dyDescent="0.25">
      <c r="A222">
        <v>1000000000000</v>
      </c>
      <c r="B222" s="4">
        <v>0.375</v>
      </c>
      <c r="C222" s="4">
        <v>1.256</v>
      </c>
      <c r="D222" s="4">
        <v>2.4E-2</v>
      </c>
      <c r="E222">
        <f>C222/B222</f>
        <v>3.3493333333333335</v>
      </c>
    </row>
    <row r="223" spans="1:5" x14ac:dyDescent="0.25">
      <c r="A223">
        <v>10000000000000</v>
      </c>
      <c r="B223" s="4">
        <v>1.0449999999999999</v>
      </c>
      <c r="C223" s="4">
        <v>3.94</v>
      </c>
      <c r="D223" s="4">
        <v>2.4E-2</v>
      </c>
      <c r="E223">
        <f t="shared" ref="E223:E229" si="8">C223/B223</f>
        <v>3.7703349282296652</v>
      </c>
    </row>
    <row r="224" spans="1:5" x14ac:dyDescent="0.25">
      <c r="A224">
        <v>100000000000000</v>
      </c>
      <c r="B224" s="4">
        <v>3.7530000000000001</v>
      </c>
      <c r="C224" s="4">
        <v>13.295999999999999</v>
      </c>
      <c r="D224" s="4">
        <v>3.5999999999999997E-2</v>
      </c>
      <c r="E224">
        <f t="shared" si="8"/>
        <v>3.5427657873701035</v>
      </c>
    </row>
    <row r="225" spans="1:5" x14ac:dyDescent="0.25">
      <c r="A225">
        <v>1000000000000000</v>
      </c>
      <c r="B225" s="4">
        <v>10.996</v>
      </c>
      <c r="C225" s="4">
        <v>42.508000000000003</v>
      </c>
      <c r="D225" s="4">
        <v>0.02</v>
      </c>
      <c r="E225">
        <f t="shared" si="8"/>
        <v>3.8657693706802476</v>
      </c>
    </row>
    <row r="226" spans="1:5" x14ac:dyDescent="0.25">
      <c r="A226">
        <v>1E+16</v>
      </c>
      <c r="B226" s="4">
        <v>35.005000000000003</v>
      </c>
      <c r="C226" s="4">
        <f>120+17.54</f>
        <v>137.54</v>
      </c>
      <c r="D226" s="4">
        <v>4.0000000000000001E-3</v>
      </c>
      <c r="E226">
        <f t="shared" si="8"/>
        <v>3.9291529781459786</v>
      </c>
    </row>
    <row r="227" spans="1:5" x14ac:dyDescent="0.25">
      <c r="A227">
        <v>1E+17</v>
      </c>
      <c r="B227" s="4">
        <f>120+27.26</f>
        <v>147.26</v>
      </c>
      <c r="C227" s="4">
        <f>9*60+47.496</f>
        <v>587.49599999999998</v>
      </c>
      <c r="D227" s="4">
        <f>0.036</f>
        <v>3.5999999999999997E-2</v>
      </c>
      <c r="E227">
        <f>C227/B227</f>
        <v>3.9895151432839877</v>
      </c>
    </row>
    <row r="228" spans="1:5" x14ac:dyDescent="0.25">
      <c r="A228">
        <v>1E+18</v>
      </c>
      <c r="B228" s="4">
        <f>7*60+37.437</f>
        <v>457.43700000000001</v>
      </c>
      <c r="C228" s="4">
        <f>30*60+29.496</f>
        <v>1829.4960000000001</v>
      </c>
      <c r="D228" s="4">
        <v>5.1999999999999998E-2</v>
      </c>
      <c r="E228">
        <f t="shared" si="8"/>
        <v>3.9994491044668448</v>
      </c>
    </row>
    <row r="229" spans="1:5" x14ac:dyDescent="0.25">
      <c r="A229">
        <v>1E+19</v>
      </c>
      <c r="B229" s="4">
        <f>20*60+11.577</f>
        <v>1211.577</v>
      </c>
      <c r="C229" s="4">
        <f>80*60+11.577</f>
        <v>4811.5770000000002</v>
      </c>
      <c r="D229" s="4">
        <f>0.052</f>
        <v>5.1999999999999998E-2</v>
      </c>
      <c r="E229">
        <f t="shared" si="8"/>
        <v>3.9713340547072122</v>
      </c>
    </row>
    <row r="232" spans="1:5" x14ac:dyDescent="0.25">
      <c r="A232" s="4" t="s">
        <v>20</v>
      </c>
      <c r="B232" s="4"/>
      <c r="C232" s="4"/>
      <c r="D232" s="4"/>
    </row>
    <row r="233" spans="1:5" x14ac:dyDescent="0.25">
      <c r="A233" s="4" t="s">
        <v>0</v>
      </c>
      <c r="B233" s="4" t="s">
        <v>3</v>
      </c>
      <c r="C233" s="4" t="s">
        <v>4</v>
      </c>
      <c r="D233" s="4" t="s">
        <v>5</v>
      </c>
    </row>
    <row r="234" spans="1:5" x14ac:dyDescent="0.25">
      <c r="A234">
        <v>1000000000000</v>
      </c>
      <c r="B234" s="4">
        <v>0.41</v>
      </c>
      <c r="C234" s="4">
        <v>0.92400000000000004</v>
      </c>
      <c r="D234" s="4">
        <v>0.372</v>
      </c>
      <c r="E234">
        <f>C234/B234</f>
        <v>2.2536585365853661</v>
      </c>
    </row>
    <row r="235" spans="1:5" x14ac:dyDescent="0.25">
      <c r="A235">
        <v>10000000000000</v>
      </c>
      <c r="B235" s="4">
        <v>1.25</v>
      </c>
      <c r="C235" s="4">
        <v>3.7440000000000002</v>
      </c>
      <c r="D235" s="4">
        <v>0.621</v>
      </c>
      <c r="E235">
        <f t="shared" ref="E235:E241" si="9">C235/B235</f>
        <v>2.9952000000000001</v>
      </c>
    </row>
    <row r="236" spans="1:5" x14ac:dyDescent="0.25">
      <c r="A236">
        <v>100000000000000</v>
      </c>
      <c r="B236" s="4">
        <v>3.8639999999999999</v>
      </c>
      <c r="C236" s="4">
        <v>11.968</v>
      </c>
      <c r="D236" s="4">
        <v>1.9359999999999999</v>
      </c>
      <c r="E236">
        <f t="shared" si="9"/>
        <v>3.0973084886128364</v>
      </c>
    </row>
    <row r="237" spans="1:5" x14ac:dyDescent="0.25">
      <c r="A237">
        <v>1000000000000000</v>
      </c>
      <c r="B237" s="4">
        <v>11.346</v>
      </c>
      <c r="C237" s="4">
        <v>33.872</v>
      </c>
      <c r="D237" s="4">
        <v>10.156000000000001</v>
      </c>
      <c r="E237">
        <f t="shared" si="9"/>
        <v>2.9853692931429578</v>
      </c>
    </row>
    <row r="238" spans="1:5" x14ac:dyDescent="0.25">
      <c r="A238">
        <v>1E+16</v>
      </c>
      <c r="B238" s="4">
        <v>35.670999999999999</v>
      </c>
      <c r="C238" s="4">
        <f>120+14.576</f>
        <v>134.57599999999999</v>
      </c>
      <c r="D238" s="4">
        <v>6.62</v>
      </c>
      <c r="E238">
        <f t="shared" si="9"/>
        <v>3.7727005130217823</v>
      </c>
    </row>
    <row r="239" spans="1:5" x14ac:dyDescent="0.25">
      <c r="A239">
        <v>1E+17</v>
      </c>
      <c r="B239" s="4">
        <f>120+31.74</f>
        <v>151.74</v>
      </c>
      <c r="C239" s="4">
        <f>9*60+47.972</f>
        <v>587.97199999999998</v>
      </c>
      <c r="D239" s="4">
        <v>11.407999999999999</v>
      </c>
      <c r="E239">
        <f>C239/B239</f>
        <v>3.8748649004876761</v>
      </c>
    </row>
    <row r="240" spans="1:5" x14ac:dyDescent="0.25">
      <c r="A240">
        <v>1E+18</v>
      </c>
      <c r="B240" s="4">
        <f>7*60+54.656</f>
        <v>474.65600000000001</v>
      </c>
      <c r="C240" s="4">
        <f>31*60+5.91</f>
        <v>1865.91</v>
      </c>
      <c r="D240" s="4">
        <v>11.94</v>
      </c>
      <c r="E240">
        <f t="shared" si="9"/>
        <v>3.9310785073821886</v>
      </c>
    </row>
    <row r="241" spans="1:5" x14ac:dyDescent="0.25">
      <c r="A241">
        <v>1E+19</v>
      </c>
      <c r="B241" s="4">
        <f>20*60+37.176</f>
        <v>1237.1759999999999</v>
      </c>
      <c r="C241" s="4">
        <f>76*60+23.568</f>
        <v>4583.5680000000002</v>
      </c>
      <c r="D241" s="4">
        <f>5*60+55.34</f>
        <v>355.34000000000003</v>
      </c>
      <c r="E241">
        <f t="shared" si="9"/>
        <v>3.7048633339153043</v>
      </c>
    </row>
    <row r="244" spans="1:5" x14ac:dyDescent="0.25">
      <c r="A244" s="4" t="s">
        <v>21</v>
      </c>
      <c r="B244" s="4"/>
      <c r="C244" s="4"/>
      <c r="D244" s="4"/>
    </row>
    <row r="245" spans="1:5" x14ac:dyDescent="0.25">
      <c r="A245" s="4" t="s">
        <v>0</v>
      </c>
      <c r="B245" s="4" t="s">
        <v>3</v>
      </c>
      <c r="C245" s="4" t="s">
        <v>4</v>
      </c>
      <c r="D245" s="4" t="s">
        <v>5</v>
      </c>
    </row>
    <row r="246" spans="1:5" x14ac:dyDescent="0.25">
      <c r="A246">
        <v>1000000000000</v>
      </c>
      <c r="B246" s="4">
        <v>0.48499999999999999</v>
      </c>
      <c r="C246" s="4">
        <v>1.24</v>
      </c>
      <c r="D246" s="4">
        <v>0.21199999999999999</v>
      </c>
      <c r="E246">
        <f>C246/B246</f>
        <v>2.5567010309278353</v>
      </c>
    </row>
    <row r="247" spans="1:5" x14ac:dyDescent="0.25">
      <c r="A247">
        <v>10000000000000</v>
      </c>
      <c r="B247" s="4">
        <v>1.1930000000000001</v>
      </c>
      <c r="C247" s="4">
        <v>4.0960000000000001</v>
      </c>
      <c r="D247" s="4">
        <v>0.128</v>
      </c>
      <c r="E247">
        <f t="shared" ref="E247:E253" si="10">C247/B247</f>
        <v>3.4333612740989103</v>
      </c>
    </row>
    <row r="248" spans="1:5" x14ac:dyDescent="0.25">
      <c r="A248">
        <v>100000000000000</v>
      </c>
      <c r="B248" s="4">
        <f>3.804</f>
        <v>3.8039999999999998</v>
      </c>
      <c r="C248" s="4">
        <v>13.667999999999999</v>
      </c>
      <c r="D248" s="4">
        <v>9.1999999999999998E-2</v>
      </c>
      <c r="E248">
        <f t="shared" si="10"/>
        <v>3.5930599369085172</v>
      </c>
    </row>
    <row r="249" spans="1:5" x14ac:dyDescent="0.25">
      <c r="A249">
        <v>1000000000000000</v>
      </c>
      <c r="B249" s="4">
        <v>11.308999999999999</v>
      </c>
      <c r="C249" s="4">
        <v>43.595999999999997</v>
      </c>
      <c r="D249" s="4">
        <v>0.08</v>
      </c>
      <c r="E249">
        <f t="shared" si="10"/>
        <v>3.8549827570961179</v>
      </c>
    </row>
    <row r="250" spans="1:5" x14ac:dyDescent="0.25">
      <c r="A250">
        <v>1E+16</v>
      </c>
      <c r="B250" s="4">
        <v>35.423999999999999</v>
      </c>
      <c r="C250" s="4">
        <f>2*60+20.292</f>
        <v>140.292</v>
      </c>
      <c r="D250" s="4">
        <v>0.128</v>
      </c>
      <c r="E250">
        <f t="shared" si="10"/>
        <v>3.9603658536585367</v>
      </c>
    </row>
    <row r="251" spans="1:5" x14ac:dyDescent="0.25">
      <c r="A251">
        <v>1E+17</v>
      </c>
      <c r="B251" s="4">
        <f>2*60+31.833</f>
        <v>151.833</v>
      </c>
      <c r="C251" s="4">
        <f>10*60+4.172</f>
        <v>604.17200000000003</v>
      </c>
      <c r="D251" s="4">
        <v>0.08</v>
      </c>
      <c r="E251">
        <f>C251/B251</f>
        <v>3.9791876601265868</v>
      </c>
    </row>
    <row r="252" spans="1:5" x14ac:dyDescent="0.25">
      <c r="A252">
        <v>1E+18</v>
      </c>
      <c r="B252" s="4">
        <f>7*60+47.441</f>
        <v>467.44100000000003</v>
      </c>
      <c r="C252" s="4">
        <f>31*60+9.856</f>
        <v>1869.856</v>
      </c>
      <c r="D252" s="4">
        <v>0.248</v>
      </c>
      <c r="E252">
        <f t="shared" si="10"/>
        <v>4.0001968162826964</v>
      </c>
    </row>
    <row r="253" spans="1:5" x14ac:dyDescent="0.25">
      <c r="A253">
        <v>1E+19</v>
      </c>
      <c r="B253" s="4">
        <f>20*60+21.131</f>
        <v>1221.1310000000001</v>
      </c>
      <c r="C253" s="4">
        <f>82*60+7.28</f>
        <v>4927.28</v>
      </c>
      <c r="D253" s="4">
        <f>0.216</f>
        <v>0.216</v>
      </c>
      <c r="E253">
        <f t="shared" si="10"/>
        <v>4.0350134424562141</v>
      </c>
    </row>
    <row r="256" spans="1:5" x14ac:dyDescent="0.25">
      <c r="A256" s="4" t="s">
        <v>22</v>
      </c>
      <c r="B256" s="4"/>
      <c r="C256" s="4"/>
      <c r="D256" s="4"/>
    </row>
    <row r="257" spans="1:5" x14ac:dyDescent="0.25">
      <c r="A257" s="4" t="s">
        <v>0</v>
      </c>
      <c r="B257" s="4" t="s">
        <v>3</v>
      </c>
      <c r="C257" s="4" t="s">
        <v>4</v>
      </c>
      <c r="D257" s="4" t="s">
        <v>5</v>
      </c>
    </row>
    <row r="258" spans="1:5" x14ac:dyDescent="0.25">
      <c r="A258">
        <v>1000000000000</v>
      </c>
      <c r="B258" s="4">
        <v>0.57799999999999996</v>
      </c>
      <c r="C258" s="4">
        <v>1.468</v>
      </c>
      <c r="D258" s="4">
        <v>0.17199999999999999</v>
      </c>
      <c r="E258">
        <f>C258/B258</f>
        <v>2.5397923875432529</v>
      </c>
    </row>
    <row r="259" spans="1:5" x14ac:dyDescent="0.25">
      <c r="A259">
        <v>10000000000000</v>
      </c>
      <c r="B259" s="4">
        <v>1.31</v>
      </c>
      <c r="C259" s="4">
        <v>4.3159999999999998</v>
      </c>
      <c r="D259" s="4">
        <v>0.13600000000000001</v>
      </c>
      <c r="E259">
        <f t="shared" ref="E259:E265" si="11">C259/B259</f>
        <v>3.2946564885496179</v>
      </c>
    </row>
    <row r="260" spans="1:5" x14ac:dyDescent="0.25">
      <c r="A260">
        <v>100000000000000</v>
      </c>
      <c r="B260">
        <v>3.9020000000000001</v>
      </c>
      <c r="C260">
        <v>13.776</v>
      </c>
      <c r="D260">
        <v>0.16800000000000001</v>
      </c>
      <c r="E260">
        <f t="shared" si="11"/>
        <v>3.5304971809328549</v>
      </c>
    </row>
    <row r="261" spans="1:5" x14ac:dyDescent="0.25">
      <c r="A261">
        <v>1000000000000000</v>
      </c>
      <c r="B261" s="4">
        <v>11.419</v>
      </c>
      <c r="C261" s="4">
        <v>43.956000000000003</v>
      </c>
      <c r="D261" s="4">
        <v>0.18</v>
      </c>
      <c r="E261">
        <f t="shared" si="11"/>
        <v>3.8493738505998776</v>
      </c>
    </row>
    <row r="262" spans="1:5" x14ac:dyDescent="0.25">
      <c r="A262">
        <v>1E+16</v>
      </c>
      <c r="B262" s="4">
        <v>35.642000000000003</v>
      </c>
      <c r="C262" s="4">
        <f>2*60+20.796</f>
        <v>140.79599999999999</v>
      </c>
      <c r="D262" s="4">
        <v>0.152</v>
      </c>
      <c r="E262">
        <f t="shared" si="11"/>
        <v>3.9502833735480607</v>
      </c>
    </row>
    <row r="263" spans="1:5" x14ac:dyDescent="0.25">
      <c r="A263">
        <v>1E+17</v>
      </c>
      <c r="B263" s="4">
        <f>120+29.957</f>
        <v>149.95699999999999</v>
      </c>
      <c r="C263" s="4">
        <f>9*60+58.032</f>
        <v>598.03200000000004</v>
      </c>
      <c r="D263" s="4">
        <f>0.248</f>
        <v>0.248</v>
      </c>
      <c r="E263">
        <f>C263/B263</f>
        <v>3.9880232333268877</v>
      </c>
    </row>
    <row r="264" spans="1:5" x14ac:dyDescent="0.25">
      <c r="A264">
        <v>1E+18</v>
      </c>
      <c r="B264" s="4">
        <f>7*60+45.197</f>
        <v>465.197</v>
      </c>
      <c r="C264" s="4">
        <f>29*60+44.236</f>
        <v>1784.2360000000001</v>
      </c>
      <c r="D264" s="4">
        <f>60+10.704</f>
        <v>70.704000000000008</v>
      </c>
      <c r="E264">
        <f t="shared" si="11"/>
        <v>3.8354417590827112</v>
      </c>
    </row>
    <row r="265" spans="1:5" x14ac:dyDescent="0.25">
      <c r="A265">
        <v>1E+19</v>
      </c>
      <c r="B265" s="4">
        <f>20*60+27.209</f>
        <v>1227.2090000000001</v>
      </c>
      <c r="C265" s="4">
        <f>80*60+43.052</f>
        <v>4843.0519999999997</v>
      </c>
      <c r="D265" s="4">
        <f>48.556</f>
        <v>48.555999999999997</v>
      </c>
      <c r="E265">
        <f t="shared" si="11"/>
        <v>3.9463954387557454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7B83D94471754A81CC776282BFF7E6" ma:contentTypeVersion="8" ma:contentTypeDescription="Criar um novo documento." ma:contentTypeScope="" ma:versionID="752fff2b9eb1a5e3c546410a2413ebb2">
  <xsd:schema xmlns:xsd="http://www.w3.org/2001/XMLSchema" xmlns:xs="http://www.w3.org/2001/XMLSchema" xmlns:p="http://schemas.microsoft.com/office/2006/metadata/properties" xmlns:ns3="c5dd753f-d707-413d-bab4-e8fa4166c052" targetNamespace="http://schemas.microsoft.com/office/2006/metadata/properties" ma:root="true" ma:fieldsID="bf2408c6b8e3d5e2e95047189e78efaf" ns3:_="">
    <xsd:import namespace="c5dd753f-d707-413d-bab4-e8fa4166c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d753f-d707-413d-bab4-e8fa4166c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7DDBA0-43A3-409D-A5FE-6A09B257B7E0}">
  <ds:schemaRefs>
    <ds:schemaRef ds:uri="http://schemas.microsoft.com/office/2006/documentManagement/types"/>
    <ds:schemaRef ds:uri="c5dd753f-d707-413d-bab4-e8fa4166c052"/>
    <ds:schemaRef ds:uri="http://purl.org/dc/dcmitype/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6F5E083-9BAE-4C22-A282-03366643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d753f-d707-413d-bab4-e8fa4166c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1CBD4-4106-49A1-B600-25B37B0EF2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Mendes</dc:creator>
  <cp:lastModifiedBy>Bruno Mendes</cp:lastModifiedBy>
  <dcterms:created xsi:type="dcterms:W3CDTF">2020-02-15T19:15:53Z</dcterms:created>
  <dcterms:modified xsi:type="dcterms:W3CDTF">2020-03-05T21:53:07Z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0x0101002E7B83D94471754A81CC776282BFF7E6</vt:lpwstr>
  </property>
  <property fmtid="{D5CDD505-2E9C-101B-9397-08002B2CF9AE}" pid="3" name="WorkbookGuid">
    <vt:lpwstr>ac585ebd-1005-4249-aca7-43233fdd6343</vt:lpwstr>
  </property>
</Properties>
</file>