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forte\Documents\"/>
    </mc:Choice>
  </mc:AlternateContent>
  <xr:revisionPtr revIDLastSave="0" documentId="13_ncr:1_{316BCEBB-2D78-4674-A453-027D3646E0D0}" xr6:coauthVersionLast="47" xr6:coauthVersionMax="47" xr10:uidLastSave="{00000000-0000-0000-0000-000000000000}"/>
  <bookViews>
    <workbookView xWindow="-120" yWindow="-120" windowWidth="29040" windowHeight="15840" xr2:uid="{E1319EA1-AF8E-4985-AD24-6003A276BCC4}"/>
  </bookViews>
  <sheets>
    <sheet name="Base" sheetId="1" r:id="rId1"/>
  </sheets>
  <definedNames>
    <definedName name="_xlnm._FilterDatabase" localSheetId="0" hidden="1">Base!$A$1:$T$485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96" i="1" l="1"/>
  <c r="T396" i="1"/>
  <c r="M395" i="1"/>
  <c r="T395" i="1"/>
  <c r="T394" i="1"/>
  <c r="M393" i="1"/>
  <c r="M394" i="1"/>
  <c r="T393" i="1"/>
  <c r="T391" i="1"/>
  <c r="M391" i="1"/>
  <c r="O391" i="1" s="1"/>
  <c r="M392" i="1"/>
  <c r="O392" i="1" s="1"/>
  <c r="T392" i="1"/>
  <c r="M390" i="1"/>
  <c r="O390" i="1" s="1"/>
  <c r="T390" i="1"/>
  <c r="M389" i="1"/>
  <c r="O389" i="1" s="1"/>
  <c r="T389" i="1"/>
  <c r="M388" i="1"/>
  <c r="O388" i="1" s="1"/>
  <c r="S393" i="1" s="1"/>
  <c r="M40" i="1"/>
  <c r="O40" i="1" s="1"/>
  <c r="L40" i="1"/>
  <c r="P40" i="1" s="1"/>
  <c r="L39" i="1"/>
  <c r="Q39" i="1" s="1"/>
  <c r="R39" i="1" s="1"/>
  <c r="L42" i="1"/>
  <c r="S394" i="1" l="1"/>
  <c r="S395" i="1"/>
  <c r="S390" i="1"/>
  <c r="S392" i="1"/>
  <c r="S391" i="1"/>
  <c r="S389" i="1"/>
  <c r="S388" i="1"/>
  <c r="Q40" i="1"/>
  <c r="R40" i="1" s="1"/>
  <c r="Q384" i="1"/>
  <c r="R384" i="1" s="1"/>
  <c r="P384" i="1"/>
  <c r="O384" i="1"/>
  <c r="I384" i="1"/>
  <c r="N384" i="1" s="1"/>
  <c r="B384" i="1"/>
  <c r="A384" i="1"/>
  <c r="Q383" i="1"/>
  <c r="R383" i="1" s="1"/>
  <c r="P383" i="1"/>
  <c r="O383" i="1"/>
  <c r="I383" i="1"/>
  <c r="N383" i="1" s="1"/>
  <c r="B383" i="1"/>
  <c r="A383" i="1"/>
  <c r="Q382" i="1"/>
  <c r="R382" i="1" s="1"/>
  <c r="P382" i="1"/>
  <c r="O382" i="1"/>
  <c r="I382" i="1"/>
  <c r="N382" i="1" s="1"/>
  <c r="B382" i="1"/>
  <c r="A382" i="1"/>
  <c r="Q381" i="1"/>
  <c r="R381" i="1" s="1"/>
  <c r="P381" i="1"/>
  <c r="O381" i="1"/>
  <c r="I381" i="1"/>
  <c r="N381" i="1" s="1"/>
  <c r="B381" i="1"/>
  <c r="A381" i="1"/>
  <c r="Q380" i="1"/>
  <c r="R380" i="1" s="1"/>
  <c r="P380" i="1"/>
  <c r="O380" i="1"/>
  <c r="I380" i="1"/>
  <c r="N380" i="1" s="1"/>
  <c r="B380" i="1"/>
  <c r="A380" i="1"/>
  <c r="Q379" i="1"/>
  <c r="R379" i="1" s="1"/>
  <c r="P379" i="1"/>
  <c r="O379" i="1"/>
  <c r="I379" i="1"/>
  <c r="N379" i="1" s="1"/>
  <c r="B379" i="1"/>
  <c r="A379" i="1"/>
  <c r="Q378" i="1"/>
  <c r="R378" i="1" s="1"/>
  <c r="P378" i="1"/>
  <c r="O378" i="1"/>
  <c r="I378" i="1"/>
  <c r="N378" i="1" s="1"/>
  <c r="B378" i="1"/>
  <c r="A378" i="1"/>
  <c r="Q377" i="1"/>
  <c r="R377" i="1" s="1"/>
  <c r="P377" i="1"/>
  <c r="O377" i="1"/>
  <c r="I377" i="1"/>
  <c r="N377" i="1" s="1"/>
  <c r="B377" i="1"/>
  <c r="A377" i="1"/>
  <c r="Q376" i="1"/>
  <c r="R376" i="1" s="1"/>
  <c r="P376" i="1"/>
  <c r="O376" i="1"/>
  <c r="I376" i="1"/>
  <c r="N376" i="1" s="1"/>
  <c r="B376" i="1"/>
  <c r="A376" i="1"/>
  <c r="Q375" i="1"/>
  <c r="R375" i="1" s="1"/>
  <c r="P375" i="1"/>
  <c r="O375" i="1"/>
  <c r="I375" i="1"/>
  <c r="N375" i="1" s="1"/>
  <c r="B375" i="1"/>
  <c r="A375" i="1"/>
  <c r="Q374" i="1"/>
  <c r="R374" i="1" s="1"/>
  <c r="P374" i="1"/>
  <c r="O374" i="1"/>
  <c r="I374" i="1"/>
  <c r="N374" i="1" s="1"/>
  <c r="B374" i="1"/>
  <c r="A374" i="1"/>
  <c r="N373" i="1"/>
  <c r="M373" i="1"/>
  <c r="O373" i="1" s="1"/>
  <c r="L373" i="1"/>
  <c r="P373" i="1" s="1"/>
  <c r="B373" i="1"/>
  <c r="A373" i="1"/>
  <c r="N372" i="1"/>
  <c r="M372" i="1"/>
  <c r="O372" i="1" s="1"/>
  <c r="L372" i="1"/>
  <c r="P372" i="1" s="1"/>
  <c r="B372" i="1"/>
  <c r="A372" i="1"/>
  <c r="N371" i="1"/>
  <c r="M371" i="1"/>
  <c r="O371" i="1" s="1"/>
  <c r="L371" i="1"/>
  <c r="P371" i="1" s="1"/>
  <c r="B371" i="1"/>
  <c r="A371" i="1"/>
  <c r="N370" i="1"/>
  <c r="M370" i="1"/>
  <c r="O370" i="1" s="1"/>
  <c r="L370" i="1"/>
  <c r="B370" i="1"/>
  <c r="A370" i="1"/>
  <c r="N369" i="1"/>
  <c r="M369" i="1"/>
  <c r="O369" i="1" s="1"/>
  <c r="L369" i="1"/>
  <c r="Q369" i="1" s="1"/>
  <c r="R369" i="1" s="1"/>
  <c r="B369" i="1"/>
  <c r="A369" i="1"/>
  <c r="N368" i="1"/>
  <c r="M368" i="1"/>
  <c r="O368" i="1" s="1"/>
  <c r="L368" i="1"/>
  <c r="Q368" i="1" s="1"/>
  <c r="R368" i="1" s="1"/>
  <c r="B368" i="1"/>
  <c r="A368" i="1"/>
  <c r="N367" i="1"/>
  <c r="M367" i="1"/>
  <c r="O367" i="1" s="1"/>
  <c r="L367" i="1"/>
  <c r="Q367" i="1" s="1"/>
  <c r="R367" i="1" s="1"/>
  <c r="B367" i="1"/>
  <c r="A367" i="1"/>
  <c r="N366" i="1"/>
  <c r="M366" i="1"/>
  <c r="O366" i="1" s="1"/>
  <c r="L366" i="1"/>
  <c r="Q366" i="1" s="1"/>
  <c r="R366" i="1" s="1"/>
  <c r="B366" i="1"/>
  <c r="A366" i="1"/>
  <c r="N365" i="1"/>
  <c r="M365" i="1"/>
  <c r="O365" i="1" s="1"/>
  <c r="L365" i="1"/>
  <c r="P365" i="1" s="1"/>
  <c r="B365" i="1"/>
  <c r="A365" i="1"/>
  <c r="N364" i="1"/>
  <c r="M364" i="1"/>
  <c r="L364" i="1"/>
  <c r="H364" i="1"/>
  <c r="B364" i="1"/>
  <c r="A364" i="1"/>
  <c r="N363" i="1"/>
  <c r="M363" i="1"/>
  <c r="O363" i="1" s="1"/>
  <c r="L363" i="1"/>
  <c r="Q363" i="1" s="1"/>
  <c r="R363" i="1" s="1"/>
  <c r="B363" i="1"/>
  <c r="A363" i="1"/>
  <c r="N362" i="1"/>
  <c r="M362" i="1"/>
  <c r="O362" i="1" s="1"/>
  <c r="L362" i="1"/>
  <c r="Q362" i="1" s="1"/>
  <c r="R362" i="1" s="1"/>
  <c r="B362" i="1"/>
  <c r="A362" i="1"/>
  <c r="Q361" i="1"/>
  <c r="R361" i="1" s="1"/>
  <c r="P361" i="1"/>
  <c r="N361" i="1"/>
  <c r="M361" i="1"/>
  <c r="O361" i="1" s="1"/>
  <c r="B361" i="1"/>
  <c r="A361" i="1"/>
  <c r="Q360" i="1"/>
  <c r="R360" i="1" s="1"/>
  <c r="P360" i="1"/>
  <c r="N360" i="1"/>
  <c r="M360" i="1"/>
  <c r="O360" i="1" s="1"/>
  <c r="B360" i="1"/>
  <c r="A360" i="1"/>
  <c r="Q359" i="1"/>
  <c r="R359" i="1" s="1"/>
  <c r="P359" i="1"/>
  <c r="N359" i="1"/>
  <c r="M359" i="1"/>
  <c r="O359" i="1" s="1"/>
  <c r="B359" i="1"/>
  <c r="A359" i="1"/>
  <c r="N358" i="1"/>
  <c r="M358" i="1"/>
  <c r="O358" i="1" s="1"/>
  <c r="L358" i="1"/>
  <c r="Q358" i="1" s="1"/>
  <c r="R358" i="1" s="1"/>
  <c r="B358" i="1"/>
  <c r="A358" i="1"/>
  <c r="N357" i="1"/>
  <c r="M357" i="1"/>
  <c r="O357" i="1" s="1"/>
  <c r="L357" i="1"/>
  <c r="P357" i="1" s="1"/>
  <c r="B357" i="1"/>
  <c r="A357" i="1"/>
  <c r="N356" i="1"/>
  <c r="M356" i="1"/>
  <c r="O356" i="1" s="1"/>
  <c r="L356" i="1"/>
  <c r="B356" i="1"/>
  <c r="A356" i="1"/>
  <c r="N355" i="1"/>
  <c r="M355" i="1"/>
  <c r="O355" i="1" s="1"/>
  <c r="L355" i="1"/>
  <c r="Q355" i="1" s="1"/>
  <c r="R355" i="1" s="1"/>
  <c r="B355" i="1"/>
  <c r="A355" i="1"/>
  <c r="N354" i="1"/>
  <c r="M354" i="1"/>
  <c r="H354" i="1"/>
  <c r="Q354" i="1" s="1"/>
  <c r="R354" i="1" s="1"/>
  <c r="B354" i="1"/>
  <c r="A354" i="1"/>
  <c r="Q353" i="1"/>
  <c r="R353" i="1" s="1"/>
  <c r="P353" i="1"/>
  <c r="N353" i="1"/>
  <c r="M353" i="1"/>
  <c r="O353" i="1" s="1"/>
  <c r="B353" i="1"/>
  <c r="A353" i="1"/>
  <c r="Q352" i="1"/>
  <c r="R352" i="1" s="1"/>
  <c r="P352" i="1"/>
  <c r="N352" i="1"/>
  <c r="M352" i="1"/>
  <c r="O352" i="1" s="1"/>
  <c r="B352" i="1"/>
  <c r="A352" i="1"/>
  <c r="N351" i="1"/>
  <c r="M351" i="1"/>
  <c r="O351" i="1" s="1"/>
  <c r="L351" i="1"/>
  <c r="P351" i="1" s="1"/>
  <c r="B351" i="1"/>
  <c r="A351" i="1"/>
  <c r="N350" i="1"/>
  <c r="M350" i="1"/>
  <c r="O350" i="1" s="1"/>
  <c r="L350" i="1"/>
  <c r="B350" i="1"/>
  <c r="A350" i="1"/>
  <c r="N349" i="1"/>
  <c r="M349" i="1"/>
  <c r="O349" i="1" s="1"/>
  <c r="L349" i="1"/>
  <c r="Q349" i="1" s="1"/>
  <c r="R349" i="1" s="1"/>
  <c r="B349" i="1"/>
  <c r="A349" i="1"/>
  <c r="N348" i="1"/>
  <c r="M348" i="1"/>
  <c r="O348" i="1" s="1"/>
  <c r="L348" i="1"/>
  <c r="Q348" i="1" s="1"/>
  <c r="R348" i="1" s="1"/>
  <c r="B348" i="1"/>
  <c r="A348" i="1"/>
  <c r="N347" i="1"/>
  <c r="M347" i="1"/>
  <c r="O347" i="1" s="1"/>
  <c r="L347" i="1"/>
  <c r="Q347" i="1" s="1"/>
  <c r="R347" i="1" s="1"/>
  <c r="B347" i="1"/>
  <c r="A347" i="1"/>
  <c r="N346" i="1"/>
  <c r="M346" i="1"/>
  <c r="O346" i="1" s="1"/>
  <c r="L346" i="1"/>
  <c r="Q346" i="1" s="1"/>
  <c r="R346" i="1" s="1"/>
  <c r="B346" i="1"/>
  <c r="A346" i="1"/>
  <c r="N345" i="1"/>
  <c r="M345" i="1"/>
  <c r="O345" i="1" s="1"/>
  <c r="L345" i="1"/>
  <c r="Q345" i="1" s="1"/>
  <c r="R345" i="1" s="1"/>
  <c r="B345" i="1"/>
  <c r="A345" i="1"/>
  <c r="N344" i="1"/>
  <c r="M344" i="1"/>
  <c r="O344" i="1" s="1"/>
  <c r="L344" i="1"/>
  <c r="Q344" i="1" s="1"/>
  <c r="R344" i="1" s="1"/>
  <c r="B344" i="1"/>
  <c r="A344" i="1"/>
  <c r="N343" i="1"/>
  <c r="M343" i="1"/>
  <c r="O343" i="1" s="1"/>
  <c r="L343" i="1"/>
  <c r="P343" i="1" s="1"/>
  <c r="B343" i="1"/>
  <c r="A343" i="1"/>
  <c r="N342" i="1"/>
  <c r="M342" i="1"/>
  <c r="O342" i="1" s="1"/>
  <c r="L342" i="1"/>
  <c r="B342" i="1"/>
  <c r="A342" i="1"/>
  <c r="Q341" i="1"/>
  <c r="R341" i="1" s="1"/>
  <c r="P341" i="1"/>
  <c r="O341" i="1"/>
  <c r="I341" i="1"/>
  <c r="N341" i="1" s="1"/>
  <c r="B341" i="1"/>
  <c r="A341" i="1"/>
  <c r="Q340" i="1"/>
  <c r="R340" i="1" s="1"/>
  <c r="P340" i="1"/>
  <c r="O340" i="1"/>
  <c r="I340" i="1"/>
  <c r="N340" i="1" s="1"/>
  <c r="B340" i="1"/>
  <c r="A340" i="1"/>
  <c r="Q339" i="1"/>
  <c r="R339" i="1" s="1"/>
  <c r="P339" i="1"/>
  <c r="O339" i="1"/>
  <c r="I339" i="1"/>
  <c r="N339" i="1" s="1"/>
  <c r="B339" i="1"/>
  <c r="A339" i="1"/>
  <c r="Q338" i="1"/>
  <c r="R338" i="1" s="1"/>
  <c r="P338" i="1"/>
  <c r="O338" i="1"/>
  <c r="I338" i="1"/>
  <c r="N338" i="1" s="1"/>
  <c r="B338" i="1"/>
  <c r="A338" i="1"/>
  <c r="Q337" i="1"/>
  <c r="R337" i="1" s="1"/>
  <c r="P337" i="1"/>
  <c r="O337" i="1"/>
  <c r="I337" i="1"/>
  <c r="N337" i="1" s="1"/>
  <c r="B337" i="1"/>
  <c r="A337" i="1"/>
  <c r="Q336" i="1"/>
  <c r="R336" i="1" s="1"/>
  <c r="P336" i="1"/>
  <c r="O336" i="1"/>
  <c r="I336" i="1"/>
  <c r="N336" i="1" s="1"/>
  <c r="B336" i="1"/>
  <c r="A336" i="1"/>
  <c r="Q335" i="1"/>
  <c r="R335" i="1" s="1"/>
  <c r="P335" i="1"/>
  <c r="O335" i="1"/>
  <c r="I335" i="1"/>
  <c r="N335" i="1" s="1"/>
  <c r="B335" i="1"/>
  <c r="A335" i="1"/>
  <c r="Q334" i="1"/>
  <c r="R334" i="1" s="1"/>
  <c r="P334" i="1"/>
  <c r="O334" i="1"/>
  <c r="I334" i="1"/>
  <c r="N334" i="1" s="1"/>
  <c r="B334" i="1"/>
  <c r="A334" i="1"/>
  <c r="Q333" i="1"/>
  <c r="R333" i="1" s="1"/>
  <c r="P333" i="1"/>
  <c r="O333" i="1"/>
  <c r="I333" i="1"/>
  <c r="N333" i="1" s="1"/>
  <c r="B333" i="1"/>
  <c r="A333" i="1"/>
  <c r="Q332" i="1"/>
  <c r="R332" i="1" s="1"/>
  <c r="P332" i="1"/>
  <c r="O332" i="1"/>
  <c r="I332" i="1"/>
  <c r="N332" i="1" s="1"/>
  <c r="B332" i="1"/>
  <c r="A332" i="1"/>
  <c r="Q331" i="1"/>
  <c r="R331" i="1" s="1"/>
  <c r="P331" i="1"/>
  <c r="O331" i="1"/>
  <c r="I331" i="1"/>
  <c r="N331" i="1" s="1"/>
  <c r="B331" i="1"/>
  <c r="A331" i="1"/>
  <c r="N330" i="1"/>
  <c r="M330" i="1"/>
  <c r="O330" i="1" s="1"/>
  <c r="L330" i="1"/>
  <c r="Q330" i="1" s="1"/>
  <c r="R330" i="1" s="1"/>
  <c r="B330" i="1"/>
  <c r="A330" i="1"/>
  <c r="N329" i="1"/>
  <c r="M329" i="1"/>
  <c r="O329" i="1" s="1"/>
  <c r="L329" i="1"/>
  <c r="Q329" i="1" s="1"/>
  <c r="R329" i="1" s="1"/>
  <c r="B329" i="1"/>
  <c r="A329" i="1"/>
  <c r="N328" i="1"/>
  <c r="M328" i="1"/>
  <c r="O328" i="1" s="1"/>
  <c r="L328" i="1"/>
  <c r="P328" i="1" s="1"/>
  <c r="B328" i="1"/>
  <c r="A328" i="1"/>
  <c r="N327" i="1"/>
  <c r="M327" i="1"/>
  <c r="O327" i="1" s="1"/>
  <c r="L327" i="1"/>
  <c r="P327" i="1" s="1"/>
  <c r="B327" i="1"/>
  <c r="A327" i="1"/>
  <c r="N326" i="1"/>
  <c r="M326" i="1"/>
  <c r="O326" i="1" s="1"/>
  <c r="L326" i="1"/>
  <c r="P326" i="1" s="1"/>
  <c r="B326" i="1"/>
  <c r="A326" i="1"/>
  <c r="N325" i="1"/>
  <c r="M325" i="1"/>
  <c r="O325" i="1" s="1"/>
  <c r="L325" i="1"/>
  <c r="B325" i="1"/>
  <c r="A325" i="1"/>
  <c r="N324" i="1"/>
  <c r="M324" i="1"/>
  <c r="O324" i="1" s="1"/>
  <c r="L324" i="1"/>
  <c r="Q324" i="1" s="1"/>
  <c r="R324" i="1" s="1"/>
  <c r="B324" i="1"/>
  <c r="A324" i="1"/>
  <c r="N323" i="1"/>
  <c r="M323" i="1"/>
  <c r="O323" i="1" s="1"/>
  <c r="L323" i="1"/>
  <c r="Q323" i="1" s="1"/>
  <c r="R323" i="1" s="1"/>
  <c r="B323" i="1"/>
  <c r="A323" i="1"/>
  <c r="N322" i="1"/>
  <c r="M322" i="1"/>
  <c r="O322" i="1" s="1"/>
  <c r="L322" i="1"/>
  <c r="Q322" i="1" s="1"/>
  <c r="R322" i="1" s="1"/>
  <c r="B322" i="1"/>
  <c r="A322" i="1"/>
  <c r="N321" i="1"/>
  <c r="M321" i="1"/>
  <c r="L321" i="1"/>
  <c r="H321" i="1"/>
  <c r="B321" i="1"/>
  <c r="A321" i="1"/>
  <c r="N320" i="1"/>
  <c r="M320" i="1"/>
  <c r="O320" i="1" s="1"/>
  <c r="L320" i="1"/>
  <c r="B320" i="1"/>
  <c r="A320" i="1"/>
  <c r="N319" i="1"/>
  <c r="M319" i="1"/>
  <c r="O319" i="1" s="1"/>
  <c r="L319" i="1"/>
  <c r="Q319" i="1" s="1"/>
  <c r="R319" i="1" s="1"/>
  <c r="B319" i="1"/>
  <c r="A319" i="1"/>
  <c r="Q318" i="1"/>
  <c r="R318" i="1" s="1"/>
  <c r="P318" i="1"/>
  <c r="N318" i="1"/>
  <c r="M318" i="1"/>
  <c r="O318" i="1" s="1"/>
  <c r="B318" i="1"/>
  <c r="A318" i="1"/>
  <c r="Q317" i="1"/>
  <c r="R317" i="1" s="1"/>
  <c r="P317" i="1"/>
  <c r="N317" i="1"/>
  <c r="M317" i="1"/>
  <c r="O317" i="1" s="1"/>
  <c r="B317" i="1"/>
  <c r="A317" i="1"/>
  <c r="N316" i="1"/>
  <c r="M316" i="1"/>
  <c r="H316" i="1"/>
  <c r="Q316" i="1" s="1"/>
  <c r="R316" i="1" s="1"/>
  <c r="B316" i="1"/>
  <c r="A316" i="1"/>
  <c r="N315" i="1"/>
  <c r="M315" i="1"/>
  <c r="O315" i="1" s="1"/>
  <c r="L315" i="1"/>
  <c r="P315" i="1" s="1"/>
  <c r="B315" i="1"/>
  <c r="A315" i="1"/>
  <c r="N314" i="1"/>
  <c r="M314" i="1"/>
  <c r="O314" i="1" s="1"/>
  <c r="L314" i="1"/>
  <c r="B314" i="1"/>
  <c r="A314" i="1"/>
  <c r="N313" i="1"/>
  <c r="M313" i="1"/>
  <c r="L313" i="1"/>
  <c r="H313" i="1"/>
  <c r="B313" i="1"/>
  <c r="A313" i="1"/>
  <c r="N312" i="1"/>
  <c r="M312" i="1"/>
  <c r="O312" i="1" s="1"/>
  <c r="L312" i="1"/>
  <c r="P312" i="1" s="1"/>
  <c r="B312" i="1"/>
  <c r="A312" i="1"/>
  <c r="N311" i="1"/>
  <c r="M311" i="1"/>
  <c r="H311" i="1"/>
  <c r="Q311" i="1" s="1"/>
  <c r="R311" i="1" s="1"/>
  <c r="B311" i="1"/>
  <c r="A311" i="1"/>
  <c r="Q310" i="1"/>
  <c r="R310" i="1" s="1"/>
  <c r="P310" i="1"/>
  <c r="N310" i="1"/>
  <c r="M310" i="1"/>
  <c r="O310" i="1" s="1"/>
  <c r="B310" i="1"/>
  <c r="A310" i="1"/>
  <c r="Q309" i="1"/>
  <c r="R309" i="1" s="1"/>
  <c r="P309" i="1"/>
  <c r="N309" i="1"/>
  <c r="M309" i="1"/>
  <c r="O309" i="1" s="1"/>
  <c r="B309" i="1"/>
  <c r="A309" i="1"/>
  <c r="N308" i="1"/>
  <c r="M308" i="1"/>
  <c r="O308" i="1" s="1"/>
  <c r="L308" i="1"/>
  <c r="Q308" i="1" s="1"/>
  <c r="R308" i="1" s="1"/>
  <c r="B308" i="1"/>
  <c r="A308" i="1"/>
  <c r="N307" i="1"/>
  <c r="M307" i="1"/>
  <c r="O307" i="1" s="1"/>
  <c r="L307" i="1"/>
  <c r="Q307" i="1" s="1"/>
  <c r="R307" i="1" s="1"/>
  <c r="B307" i="1"/>
  <c r="A307" i="1"/>
  <c r="N306" i="1"/>
  <c r="M306" i="1"/>
  <c r="O306" i="1" s="1"/>
  <c r="L306" i="1"/>
  <c r="Q306" i="1" s="1"/>
  <c r="R306" i="1" s="1"/>
  <c r="B306" i="1"/>
  <c r="A306" i="1"/>
  <c r="N305" i="1"/>
  <c r="M305" i="1"/>
  <c r="O305" i="1" s="1"/>
  <c r="L305" i="1"/>
  <c r="P305" i="1" s="1"/>
  <c r="B305" i="1"/>
  <c r="A305" i="1"/>
  <c r="N304" i="1"/>
  <c r="M304" i="1"/>
  <c r="O304" i="1" s="1"/>
  <c r="L304" i="1"/>
  <c r="P304" i="1" s="1"/>
  <c r="B304" i="1"/>
  <c r="A304" i="1"/>
  <c r="N303" i="1"/>
  <c r="M303" i="1"/>
  <c r="O303" i="1" s="1"/>
  <c r="L303" i="1"/>
  <c r="B303" i="1"/>
  <c r="A303" i="1"/>
  <c r="N302" i="1"/>
  <c r="M302" i="1"/>
  <c r="O302" i="1" s="1"/>
  <c r="L302" i="1"/>
  <c r="Q302" i="1" s="1"/>
  <c r="R302" i="1" s="1"/>
  <c r="B302" i="1"/>
  <c r="A302" i="1"/>
  <c r="N301" i="1"/>
  <c r="M301" i="1"/>
  <c r="O301" i="1" s="1"/>
  <c r="L301" i="1"/>
  <c r="P301" i="1" s="1"/>
  <c r="B301" i="1"/>
  <c r="A301" i="1"/>
  <c r="Q300" i="1"/>
  <c r="R300" i="1" s="1"/>
  <c r="P300" i="1"/>
  <c r="N300" i="1"/>
  <c r="M300" i="1"/>
  <c r="O300" i="1" s="1"/>
  <c r="B300" i="1"/>
  <c r="A300" i="1"/>
  <c r="N299" i="1"/>
  <c r="M299" i="1"/>
  <c r="O299" i="1" s="1"/>
  <c r="L299" i="1"/>
  <c r="Q299" i="1" s="1"/>
  <c r="R299" i="1" s="1"/>
  <c r="B299" i="1"/>
  <c r="A299" i="1"/>
  <c r="N298" i="1"/>
  <c r="M298" i="1"/>
  <c r="O298" i="1" s="1"/>
  <c r="L298" i="1"/>
  <c r="P298" i="1" s="1"/>
  <c r="B298" i="1"/>
  <c r="A298" i="1"/>
  <c r="Q296" i="1"/>
  <c r="R296" i="1" s="1"/>
  <c r="P296" i="1"/>
  <c r="O296" i="1"/>
  <c r="I296" i="1"/>
  <c r="N296" i="1" s="1"/>
  <c r="B296" i="1"/>
  <c r="A296" i="1"/>
  <c r="Q295" i="1"/>
  <c r="R295" i="1" s="1"/>
  <c r="P295" i="1"/>
  <c r="O295" i="1"/>
  <c r="I295" i="1"/>
  <c r="N295" i="1" s="1"/>
  <c r="B295" i="1"/>
  <c r="A295" i="1"/>
  <c r="Q294" i="1"/>
  <c r="R294" i="1" s="1"/>
  <c r="P294" i="1"/>
  <c r="O294" i="1"/>
  <c r="I294" i="1"/>
  <c r="N294" i="1" s="1"/>
  <c r="B294" i="1"/>
  <c r="A294" i="1"/>
  <c r="Q293" i="1"/>
  <c r="R293" i="1" s="1"/>
  <c r="P293" i="1"/>
  <c r="O293" i="1"/>
  <c r="I293" i="1"/>
  <c r="N293" i="1" s="1"/>
  <c r="B293" i="1"/>
  <c r="A293" i="1"/>
  <c r="Q292" i="1"/>
  <c r="R292" i="1" s="1"/>
  <c r="P292" i="1"/>
  <c r="O292" i="1"/>
  <c r="I292" i="1"/>
  <c r="N292" i="1" s="1"/>
  <c r="B292" i="1"/>
  <c r="A292" i="1"/>
  <c r="Q291" i="1"/>
  <c r="R291" i="1" s="1"/>
  <c r="P291" i="1"/>
  <c r="O291" i="1"/>
  <c r="I291" i="1"/>
  <c r="N291" i="1" s="1"/>
  <c r="B291" i="1"/>
  <c r="A291" i="1"/>
  <c r="Q290" i="1"/>
  <c r="R290" i="1" s="1"/>
  <c r="P290" i="1"/>
  <c r="O290" i="1"/>
  <c r="I290" i="1"/>
  <c r="N290" i="1" s="1"/>
  <c r="B290" i="1"/>
  <c r="A290" i="1"/>
  <c r="Q289" i="1"/>
  <c r="R289" i="1" s="1"/>
  <c r="P289" i="1"/>
  <c r="O289" i="1"/>
  <c r="I289" i="1"/>
  <c r="N289" i="1" s="1"/>
  <c r="B289" i="1"/>
  <c r="A289" i="1"/>
  <c r="Q288" i="1"/>
  <c r="R288" i="1" s="1"/>
  <c r="P288" i="1"/>
  <c r="O288" i="1"/>
  <c r="I288" i="1"/>
  <c r="N288" i="1" s="1"/>
  <c r="B288" i="1"/>
  <c r="A288" i="1"/>
  <c r="Q287" i="1"/>
  <c r="R287" i="1" s="1"/>
  <c r="P287" i="1"/>
  <c r="O287" i="1"/>
  <c r="I287" i="1"/>
  <c r="N287" i="1" s="1"/>
  <c r="B287" i="1"/>
  <c r="A287" i="1"/>
  <c r="Q286" i="1"/>
  <c r="R286" i="1" s="1"/>
  <c r="P286" i="1"/>
  <c r="O286" i="1"/>
  <c r="I286" i="1"/>
  <c r="N286" i="1" s="1"/>
  <c r="B286" i="1"/>
  <c r="A286" i="1"/>
  <c r="Q285" i="1"/>
  <c r="R285" i="1" s="1"/>
  <c r="P285" i="1"/>
  <c r="O285" i="1"/>
  <c r="I285" i="1"/>
  <c r="N285" i="1" s="1"/>
  <c r="B285" i="1"/>
  <c r="A285" i="1"/>
  <c r="Q284" i="1"/>
  <c r="R284" i="1" s="1"/>
  <c r="P284" i="1"/>
  <c r="O284" i="1"/>
  <c r="I284" i="1"/>
  <c r="N284" i="1" s="1"/>
  <c r="B284" i="1"/>
  <c r="A284" i="1"/>
  <c r="Q283" i="1"/>
  <c r="R283" i="1" s="1"/>
  <c r="P283" i="1"/>
  <c r="O283" i="1"/>
  <c r="I283" i="1"/>
  <c r="N283" i="1" s="1"/>
  <c r="B283" i="1"/>
  <c r="A283" i="1"/>
  <c r="Q282" i="1"/>
  <c r="R282" i="1" s="1"/>
  <c r="P282" i="1"/>
  <c r="O282" i="1"/>
  <c r="I282" i="1"/>
  <c r="N282" i="1" s="1"/>
  <c r="B282" i="1"/>
  <c r="A282" i="1"/>
  <c r="Q281" i="1"/>
  <c r="R281" i="1" s="1"/>
  <c r="P281" i="1"/>
  <c r="O281" i="1"/>
  <c r="I281" i="1"/>
  <c r="N281" i="1" s="1"/>
  <c r="B281" i="1"/>
  <c r="A281" i="1"/>
  <c r="Q280" i="1"/>
  <c r="R280" i="1" s="1"/>
  <c r="P280" i="1"/>
  <c r="O280" i="1"/>
  <c r="I280" i="1"/>
  <c r="N280" i="1" s="1"/>
  <c r="B280" i="1"/>
  <c r="A280" i="1"/>
  <c r="Q279" i="1"/>
  <c r="R279" i="1" s="1"/>
  <c r="P279" i="1"/>
  <c r="O279" i="1"/>
  <c r="I279" i="1"/>
  <c r="N279" i="1" s="1"/>
  <c r="B279" i="1"/>
  <c r="A279" i="1"/>
  <c r="Q278" i="1"/>
  <c r="R278" i="1" s="1"/>
  <c r="P278" i="1"/>
  <c r="O278" i="1"/>
  <c r="I278" i="1"/>
  <c r="N278" i="1" s="1"/>
  <c r="B278" i="1"/>
  <c r="A278" i="1"/>
  <c r="Q277" i="1"/>
  <c r="R277" i="1" s="1"/>
  <c r="P277" i="1"/>
  <c r="O277" i="1"/>
  <c r="I277" i="1"/>
  <c r="N277" i="1" s="1"/>
  <c r="B277" i="1"/>
  <c r="A277" i="1"/>
  <c r="Q276" i="1"/>
  <c r="R276" i="1" s="1"/>
  <c r="P276" i="1"/>
  <c r="O276" i="1"/>
  <c r="I276" i="1"/>
  <c r="N276" i="1" s="1"/>
  <c r="B276" i="1"/>
  <c r="A276" i="1"/>
  <c r="Q275" i="1"/>
  <c r="R275" i="1" s="1"/>
  <c r="P275" i="1"/>
  <c r="O275" i="1"/>
  <c r="I275" i="1"/>
  <c r="N275" i="1" s="1"/>
  <c r="B275" i="1"/>
  <c r="A275" i="1"/>
  <c r="Q274" i="1"/>
  <c r="R274" i="1" s="1"/>
  <c r="P274" i="1"/>
  <c r="O274" i="1"/>
  <c r="I274" i="1"/>
  <c r="N274" i="1" s="1"/>
  <c r="B274" i="1"/>
  <c r="A274" i="1"/>
  <c r="Q273" i="1"/>
  <c r="R273" i="1" s="1"/>
  <c r="P273" i="1"/>
  <c r="O273" i="1"/>
  <c r="I273" i="1"/>
  <c r="N273" i="1" s="1"/>
  <c r="B273" i="1"/>
  <c r="A273" i="1"/>
  <c r="Q272" i="1"/>
  <c r="R272" i="1" s="1"/>
  <c r="P272" i="1"/>
  <c r="O272" i="1"/>
  <c r="I272" i="1"/>
  <c r="N272" i="1" s="1"/>
  <c r="B272" i="1"/>
  <c r="A272" i="1"/>
  <c r="Q271" i="1"/>
  <c r="R271" i="1" s="1"/>
  <c r="P271" i="1"/>
  <c r="O271" i="1"/>
  <c r="I271" i="1"/>
  <c r="N271" i="1" s="1"/>
  <c r="B271" i="1"/>
  <c r="A271" i="1"/>
  <c r="Q270" i="1"/>
  <c r="R270" i="1" s="1"/>
  <c r="P270" i="1"/>
  <c r="O270" i="1"/>
  <c r="I270" i="1"/>
  <c r="N270" i="1" s="1"/>
  <c r="B270" i="1"/>
  <c r="A270" i="1"/>
  <c r="Q269" i="1"/>
  <c r="R269" i="1" s="1"/>
  <c r="P269" i="1"/>
  <c r="O269" i="1"/>
  <c r="I269" i="1"/>
  <c r="N269" i="1" s="1"/>
  <c r="B269" i="1"/>
  <c r="A269" i="1"/>
  <c r="I267" i="1"/>
  <c r="N267" i="1" s="1"/>
  <c r="H267" i="1"/>
  <c r="B267" i="1"/>
  <c r="A267" i="1"/>
  <c r="Q266" i="1"/>
  <c r="R266" i="1" s="1"/>
  <c r="P266" i="1"/>
  <c r="O266" i="1"/>
  <c r="I266" i="1"/>
  <c r="N266" i="1" s="1"/>
  <c r="B266" i="1"/>
  <c r="A266" i="1"/>
  <c r="I265" i="1"/>
  <c r="N265" i="1" s="1"/>
  <c r="H265" i="1"/>
  <c r="P265" i="1" s="1"/>
  <c r="B265" i="1"/>
  <c r="A265" i="1"/>
  <c r="I264" i="1"/>
  <c r="N264" i="1" s="1"/>
  <c r="H264" i="1"/>
  <c r="Q264" i="1" s="1"/>
  <c r="R264" i="1" s="1"/>
  <c r="B264" i="1"/>
  <c r="A264" i="1"/>
  <c r="I263" i="1"/>
  <c r="N263" i="1" s="1"/>
  <c r="H263" i="1"/>
  <c r="O263" i="1" s="1"/>
  <c r="B263" i="1"/>
  <c r="A263" i="1"/>
  <c r="Q262" i="1"/>
  <c r="R262" i="1" s="1"/>
  <c r="P262" i="1"/>
  <c r="O262" i="1"/>
  <c r="I262" i="1"/>
  <c r="N262" i="1" s="1"/>
  <c r="B262" i="1"/>
  <c r="A262" i="1"/>
  <c r="I261" i="1"/>
  <c r="N261" i="1" s="1"/>
  <c r="H261" i="1"/>
  <c r="Q261" i="1" s="1"/>
  <c r="R261" i="1" s="1"/>
  <c r="B261" i="1"/>
  <c r="A261" i="1"/>
  <c r="I260" i="1"/>
  <c r="N260" i="1" s="1"/>
  <c r="H260" i="1"/>
  <c r="Q260" i="1" s="1"/>
  <c r="R260" i="1" s="1"/>
  <c r="B260" i="1"/>
  <c r="A260" i="1"/>
  <c r="I259" i="1"/>
  <c r="N259" i="1" s="1"/>
  <c r="H259" i="1"/>
  <c r="O259" i="1" s="1"/>
  <c r="B259" i="1"/>
  <c r="A259" i="1"/>
  <c r="Q258" i="1"/>
  <c r="R258" i="1" s="1"/>
  <c r="P258" i="1"/>
  <c r="O258" i="1"/>
  <c r="I258" i="1"/>
  <c r="N258" i="1" s="1"/>
  <c r="B258" i="1"/>
  <c r="A258" i="1"/>
  <c r="I257" i="1"/>
  <c r="N257" i="1" s="1"/>
  <c r="H257" i="1"/>
  <c r="Q257" i="1" s="1"/>
  <c r="R257" i="1" s="1"/>
  <c r="B257" i="1"/>
  <c r="A257" i="1"/>
  <c r="I256" i="1"/>
  <c r="N256" i="1" s="1"/>
  <c r="H256" i="1"/>
  <c r="O256" i="1" s="1"/>
  <c r="B256" i="1"/>
  <c r="A256" i="1"/>
  <c r="I255" i="1"/>
  <c r="N255" i="1" s="1"/>
  <c r="H255" i="1"/>
  <c r="P255" i="1" s="1"/>
  <c r="B255" i="1"/>
  <c r="A255" i="1"/>
  <c r="I254" i="1"/>
  <c r="N254" i="1" s="1"/>
  <c r="H254" i="1"/>
  <c r="Q254" i="1" s="1"/>
  <c r="R254" i="1" s="1"/>
  <c r="B254" i="1"/>
  <c r="A254" i="1"/>
  <c r="I253" i="1"/>
  <c r="N253" i="1" s="1"/>
  <c r="H253" i="1"/>
  <c r="P253" i="1" s="1"/>
  <c r="B253" i="1"/>
  <c r="A253" i="1"/>
  <c r="I252" i="1"/>
  <c r="N252" i="1" s="1"/>
  <c r="H252" i="1"/>
  <c r="O252" i="1" s="1"/>
  <c r="B252" i="1"/>
  <c r="A252" i="1"/>
  <c r="I251" i="1"/>
  <c r="N251" i="1" s="1"/>
  <c r="H251" i="1"/>
  <c r="B251" i="1"/>
  <c r="A251" i="1"/>
  <c r="I250" i="1"/>
  <c r="N250" i="1" s="1"/>
  <c r="H250" i="1"/>
  <c r="P250" i="1" s="1"/>
  <c r="B250" i="1"/>
  <c r="A250" i="1"/>
  <c r="I249" i="1"/>
  <c r="N249" i="1" s="1"/>
  <c r="H249" i="1"/>
  <c r="P249" i="1" s="1"/>
  <c r="B249" i="1"/>
  <c r="A249" i="1"/>
  <c r="I248" i="1"/>
  <c r="N248" i="1" s="1"/>
  <c r="H248" i="1"/>
  <c r="Q248" i="1" s="1"/>
  <c r="R248" i="1" s="1"/>
  <c r="B248" i="1"/>
  <c r="A248" i="1"/>
  <c r="Q247" i="1"/>
  <c r="R247" i="1" s="1"/>
  <c r="P247" i="1"/>
  <c r="O247" i="1"/>
  <c r="I247" i="1"/>
  <c r="N247" i="1" s="1"/>
  <c r="B247" i="1"/>
  <c r="A247" i="1"/>
  <c r="I246" i="1"/>
  <c r="N246" i="1" s="1"/>
  <c r="H246" i="1"/>
  <c r="P246" i="1" s="1"/>
  <c r="B246" i="1"/>
  <c r="A246" i="1"/>
  <c r="I245" i="1"/>
  <c r="N245" i="1" s="1"/>
  <c r="H245" i="1"/>
  <c r="Q245" i="1" s="1"/>
  <c r="R245" i="1" s="1"/>
  <c r="B245" i="1"/>
  <c r="A245" i="1"/>
  <c r="Q244" i="1"/>
  <c r="R244" i="1" s="1"/>
  <c r="P244" i="1"/>
  <c r="O244" i="1"/>
  <c r="I244" i="1"/>
  <c r="N244" i="1" s="1"/>
  <c r="B244" i="1"/>
  <c r="A244" i="1"/>
  <c r="I243" i="1"/>
  <c r="N243" i="1" s="1"/>
  <c r="H243" i="1"/>
  <c r="P243" i="1" s="1"/>
  <c r="B243" i="1"/>
  <c r="A243" i="1"/>
  <c r="I242" i="1"/>
  <c r="N242" i="1" s="1"/>
  <c r="H242" i="1"/>
  <c r="Q242" i="1" s="1"/>
  <c r="R242" i="1" s="1"/>
  <c r="B242" i="1"/>
  <c r="A242" i="1"/>
  <c r="Q241" i="1"/>
  <c r="R241" i="1" s="1"/>
  <c r="P241" i="1"/>
  <c r="O241" i="1"/>
  <c r="I241" i="1"/>
  <c r="N241" i="1" s="1"/>
  <c r="B241" i="1"/>
  <c r="A241" i="1"/>
  <c r="I240" i="1"/>
  <c r="N240" i="1" s="1"/>
  <c r="H240" i="1"/>
  <c r="P240" i="1" s="1"/>
  <c r="B240" i="1"/>
  <c r="A240" i="1"/>
  <c r="I239" i="1"/>
  <c r="N239" i="1" s="1"/>
  <c r="H239" i="1"/>
  <c r="Q239" i="1" s="1"/>
  <c r="R239" i="1" s="1"/>
  <c r="B239" i="1"/>
  <c r="A239" i="1"/>
  <c r="Q238" i="1"/>
  <c r="R238" i="1" s="1"/>
  <c r="P238" i="1"/>
  <c r="O238" i="1"/>
  <c r="I238" i="1"/>
  <c r="N238" i="1" s="1"/>
  <c r="B238" i="1"/>
  <c r="A238" i="1"/>
  <c r="I237" i="1"/>
  <c r="N237" i="1" s="1"/>
  <c r="H237" i="1"/>
  <c r="P237" i="1" s="1"/>
  <c r="B237" i="1"/>
  <c r="A237" i="1"/>
  <c r="I236" i="1"/>
  <c r="N236" i="1" s="1"/>
  <c r="H236" i="1"/>
  <c r="Q236" i="1" s="1"/>
  <c r="R236" i="1" s="1"/>
  <c r="B236" i="1"/>
  <c r="A236" i="1"/>
  <c r="Q235" i="1"/>
  <c r="R235" i="1" s="1"/>
  <c r="P235" i="1"/>
  <c r="O235" i="1"/>
  <c r="I235" i="1"/>
  <c r="N235" i="1" s="1"/>
  <c r="B235" i="1"/>
  <c r="A235" i="1"/>
  <c r="Q233" i="1"/>
  <c r="R233" i="1" s="1"/>
  <c r="P233" i="1"/>
  <c r="O233" i="1"/>
  <c r="I233" i="1"/>
  <c r="N233" i="1" s="1"/>
  <c r="B233" i="1"/>
  <c r="A233" i="1"/>
  <c r="Q232" i="1"/>
  <c r="R232" i="1" s="1"/>
  <c r="P232" i="1"/>
  <c r="O232" i="1"/>
  <c r="I232" i="1"/>
  <c r="N232" i="1" s="1"/>
  <c r="B232" i="1"/>
  <c r="A232" i="1"/>
  <c r="Q231" i="1"/>
  <c r="R231" i="1" s="1"/>
  <c r="P231" i="1"/>
  <c r="O231" i="1"/>
  <c r="I231" i="1"/>
  <c r="N231" i="1" s="1"/>
  <c r="B231" i="1"/>
  <c r="A231" i="1"/>
  <c r="Q230" i="1"/>
  <c r="R230" i="1" s="1"/>
  <c r="P230" i="1"/>
  <c r="O230" i="1"/>
  <c r="I230" i="1"/>
  <c r="N230" i="1" s="1"/>
  <c r="B230" i="1"/>
  <c r="A230" i="1"/>
  <c r="Q229" i="1"/>
  <c r="R229" i="1" s="1"/>
  <c r="P229" i="1"/>
  <c r="O229" i="1"/>
  <c r="I229" i="1"/>
  <c r="N229" i="1" s="1"/>
  <c r="B229" i="1"/>
  <c r="A229" i="1"/>
  <c r="Q228" i="1"/>
  <c r="R228" i="1" s="1"/>
  <c r="P228" i="1"/>
  <c r="O228" i="1"/>
  <c r="I228" i="1"/>
  <c r="N228" i="1" s="1"/>
  <c r="B228" i="1"/>
  <c r="A228" i="1"/>
  <c r="Q227" i="1"/>
  <c r="R227" i="1" s="1"/>
  <c r="P227" i="1"/>
  <c r="O227" i="1"/>
  <c r="I227" i="1"/>
  <c r="N227" i="1" s="1"/>
  <c r="B227" i="1"/>
  <c r="A227" i="1"/>
  <c r="Q226" i="1"/>
  <c r="R226" i="1" s="1"/>
  <c r="P226" i="1"/>
  <c r="O226" i="1"/>
  <c r="I226" i="1"/>
  <c r="N226" i="1" s="1"/>
  <c r="B226" i="1"/>
  <c r="A226" i="1"/>
  <c r="Q225" i="1"/>
  <c r="R225" i="1" s="1"/>
  <c r="P225" i="1"/>
  <c r="O225" i="1"/>
  <c r="I225" i="1"/>
  <c r="N225" i="1" s="1"/>
  <c r="B225" i="1"/>
  <c r="A225" i="1"/>
  <c r="Q224" i="1"/>
  <c r="R224" i="1" s="1"/>
  <c r="P224" i="1"/>
  <c r="O224" i="1"/>
  <c r="I224" i="1"/>
  <c r="N224" i="1" s="1"/>
  <c r="B224" i="1"/>
  <c r="A224" i="1"/>
  <c r="Q223" i="1"/>
  <c r="R223" i="1" s="1"/>
  <c r="P223" i="1"/>
  <c r="O223" i="1"/>
  <c r="I223" i="1"/>
  <c r="N223" i="1" s="1"/>
  <c r="B223" i="1"/>
  <c r="A223" i="1"/>
  <c r="Q222" i="1"/>
  <c r="R222" i="1" s="1"/>
  <c r="P222" i="1"/>
  <c r="O222" i="1"/>
  <c r="I222" i="1"/>
  <c r="N222" i="1" s="1"/>
  <c r="B222" i="1"/>
  <c r="A222" i="1"/>
  <c r="Q220" i="1"/>
  <c r="R220" i="1" s="1"/>
  <c r="P220" i="1"/>
  <c r="O220" i="1"/>
  <c r="I220" i="1"/>
  <c r="N220" i="1" s="1"/>
  <c r="B220" i="1"/>
  <c r="A220" i="1"/>
  <c r="Q219" i="1"/>
  <c r="R219" i="1" s="1"/>
  <c r="P219" i="1"/>
  <c r="O219" i="1"/>
  <c r="I219" i="1"/>
  <c r="N219" i="1" s="1"/>
  <c r="B219" i="1"/>
  <c r="A219" i="1"/>
  <c r="Q218" i="1"/>
  <c r="R218" i="1" s="1"/>
  <c r="P218" i="1"/>
  <c r="O218" i="1"/>
  <c r="I218" i="1"/>
  <c r="N218" i="1" s="1"/>
  <c r="B218" i="1"/>
  <c r="A218" i="1"/>
  <c r="Q217" i="1"/>
  <c r="R217" i="1" s="1"/>
  <c r="P217" i="1"/>
  <c r="O217" i="1"/>
  <c r="I217" i="1"/>
  <c r="N217" i="1" s="1"/>
  <c r="B217" i="1"/>
  <c r="A217" i="1"/>
  <c r="Q216" i="1"/>
  <c r="R216" i="1" s="1"/>
  <c r="P216" i="1"/>
  <c r="O216" i="1"/>
  <c r="I216" i="1"/>
  <c r="N216" i="1" s="1"/>
  <c r="B216" i="1"/>
  <c r="A216" i="1"/>
  <c r="Q215" i="1"/>
  <c r="R215" i="1" s="1"/>
  <c r="P215" i="1"/>
  <c r="O215" i="1"/>
  <c r="I215" i="1"/>
  <c r="N215" i="1" s="1"/>
  <c r="B215" i="1"/>
  <c r="A215" i="1"/>
  <c r="Q214" i="1"/>
  <c r="R214" i="1" s="1"/>
  <c r="P214" i="1"/>
  <c r="O214" i="1"/>
  <c r="I214" i="1"/>
  <c r="N214" i="1" s="1"/>
  <c r="B214" i="1"/>
  <c r="A214" i="1"/>
  <c r="Q213" i="1"/>
  <c r="R213" i="1" s="1"/>
  <c r="P213" i="1"/>
  <c r="O213" i="1"/>
  <c r="I213" i="1"/>
  <c r="N213" i="1" s="1"/>
  <c r="B213" i="1"/>
  <c r="A213" i="1"/>
  <c r="Q212" i="1"/>
  <c r="R212" i="1" s="1"/>
  <c r="P212" i="1"/>
  <c r="O212" i="1"/>
  <c r="I212" i="1"/>
  <c r="N212" i="1" s="1"/>
  <c r="B212" i="1"/>
  <c r="A212" i="1"/>
  <c r="Q211" i="1"/>
  <c r="R211" i="1" s="1"/>
  <c r="P211" i="1"/>
  <c r="O211" i="1"/>
  <c r="I211" i="1"/>
  <c r="N211" i="1" s="1"/>
  <c r="B211" i="1"/>
  <c r="A211" i="1"/>
  <c r="Q210" i="1"/>
  <c r="R210" i="1" s="1"/>
  <c r="P210" i="1"/>
  <c r="O210" i="1"/>
  <c r="I210" i="1"/>
  <c r="N210" i="1" s="1"/>
  <c r="B210" i="1"/>
  <c r="A210" i="1"/>
  <c r="Q209" i="1"/>
  <c r="R209" i="1" s="1"/>
  <c r="P209" i="1"/>
  <c r="O209" i="1"/>
  <c r="I209" i="1"/>
  <c r="N209" i="1" s="1"/>
  <c r="B209" i="1"/>
  <c r="A209" i="1"/>
  <c r="Q207" i="1"/>
  <c r="R207" i="1" s="1"/>
  <c r="P207" i="1"/>
  <c r="O207" i="1"/>
  <c r="I207" i="1"/>
  <c r="N207" i="1" s="1"/>
  <c r="B207" i="1"/>
  <c r="A207" i="1"/>
  <c r="Q206" i="1"/>
  <c r="R206" i="1" s="1"/>
  <c r="P206" i="1"/>
  <c r="O206" i="1"/>
  <c r="I206" i="1"/>
  <c r="N206" i="1" s="1"/>
  <c r="B206" i="1"/>
  <c r="A206" i="1"/>
  <c r="Q205" i="1"/>
  <c r="R205" i="1" s="1"/>
  <c r="P205" i="1"/>
  <c r="O205" i="1"/>
  <c r="I205" i="1"/>
  <c r="N205" i="1" s="1"/>
  <c r="B205" i="1"/>
  <c r="A205" i="1"/>
  <c r="Q204" i="1"/>
  <c r="R204" i="1" s="1"/>
  <c r="P204" i="1"/>
  <c r="O204" i="1"/>
  <c r="I204" i="1"/>
  <c r="N204" i="1" s="1"/>
  <c r="B204" i="1"/>
  <c r="A204" i="1"/>
  <c r="Q203" i="1"/>
  <c r="R203" i="1" s="1"/>
  <c r="P203" i="1"/>
  <c r="O203" i="1"/>
  <c r="I203" i="1"/>
  <c r="N203" i="1" s="1"/>
  <c r="B203" i="1"/>
  <c r="A203" i="1"/>
  <c r="Q202" i="1"/>
  <c r="R202" i="1" s="1"/>
  <c r="P202" i="1"/>
  <c r="O202" i="1"/>
  <c r="I202" i="1"/>
  <c r="N202" i="1" s="1"/>
  <c r="B202" i="1"/>
  <c r="A202" i="1"/>
  <c r="Q201" i="1"/>
  <c r="R201" i="1" s="1"/>
  <c r="P201" i="1"/>
  <c r="O201" i="1"/>
  <c r="I201" i="1"/>
  <c r="N201" i="1" s="1"/>
  <c r="B201" i="1"/>
  <c r="A201" i="1"/>
  <c r="Q200" i="1"/>
  <c r="R200" i="1" s="1"/>
  <c r="P200" i="1"/>
  <c r="O200" i="1"/>
  <c r="I200" i="1"/>
  <c r="N200" i="1" s="1"/>
  <c r="B200" i="1"/>
  <c r="A200" i="1"/>
  <c r="Q199" i="1"/>
  <c r="R199" i="1" s="1"/>
  <c r="P199" i="1"/>
  <c r="O199" i="1"/>
  <c r="I199" i="1"/>
  <c r="N199" i="1" s="1"/>
  <c r="B199" i="1"/>
  <c r="A199" i="1"/>
  <c r="Q198" i="1"/>
  <c r="R198" i="1" s="1"/>
  <c r="P198" i="1"/>
  <c r="O198" i="1"/>
  <c r="I198" i="1"/>
  <c r="N198" i="1" s="1"/>
  <c r="B198" i="1"/>
  <c r="A198" i="1"/>
  <c r="Q197" i="1"/>
  <c r="R197" i="1" s="1"/>
  <c r="P197" i="1"/>
  <c r="O197" i="1"/>
  <c r="I197" i="1"/>
  <c r="N197" i="1" s="1"/>
  <c r="B197" i="1"/>
  <c r="A197" i="1"/>
  <c r="Q196" i="1"/>
  <c r="R196" i="1" s="1"/>
  <c r="P196" i="1"/>
  <c r="O196" i="1"/>
  <c r="I196" i="1"/>
  <c r="N196" i="1" s="1"/>
  <c r="B196" i="1"/>
  <c r="A196" i="1"/>
  <c r="Q194" i="1"/>
  <c r="R194" i="1" s="1"/>
  <c r="P194" i="1"/>
  <c r="O194" i="1"/>
  <c r="I194" i="1"/>
  <c r="N194" i="1" s="1"/>
  <c r="B194" i="1"/>
  <c r="A194" i="1"/>
  <c r="Q193" i="1"/>
  <c r="R193" i="1" s="1"/>
  <c r="P193" i="1"/>
  <c r="O193" i="1"/>
  <c r="I193" i="1"/>
  <c r="N193" i="1" s="1"/>
  <c r="B193" i="1"/>
  <c r="A193" i="1"/>
  <c r="Q192" i="1"/>
  <c r="R192" i="1" s="1"/>
  <c r="P192" i="1"/>
  <c r="O192" i="1"/>
  <c r="I192" i="1"/>
  <c r="N192" i="1" s="1"/>
  <c r="B192" i="1"/>
  <c r="A192" i="1"/>
  <c r="Q191" i="1"/>
  <c r="R191" i="1" s="1"/>
  <c r="P191" i="1"/>
  <c r="O191" i="1"/>
  <c r="I191" i="1"/>
  <c r="N191" i="1" s="1"/>
  <c r="B191" i="1"/>
  <c r="A191" i="1"/>
  <c r="Q190" i="1"/>
  <c r="R190" i="1" s="1"/>
  <c r="P190" i="1"/>
  <c r="O190" i="1"/>
  <c r="I190" i="1"/>
  <c r="N190" i="1" s="1"/>
  <c r="B190" i="1"/>
  <c r="A190" i="1"/>
  <c r="Q189" i="1"/>
  <c r="R189" i="1" s="1"/>
  <c r="P189" i="1"/>
  <c r="O189" i="1"/>
  <c r="I189" i="1"/>
  <c r="N189" i="1" s="1"/>
  <c r="B189" i="1"/>
  <c r="A189" i="1"/>
  <c r="Q188" i="1"/>
  <c r="R188" i="1" s="1"/>
  <c r="P188" i="1"/>
  <c r="O188" i="1"/>
  <c r="I188" i="1"/>
  <c r="N188" i="1" s="1"/>
  <c r="B188" i="1"/>
  <c r="A188" i="1"/>
  <c r="Q187" i="1"/>
  <c r="R187" i="1" s="1"/>
  <c r="P187" i="1"/>
  <c r="O187" i="1"/>
  <c r="I187" i="1"/>
  <c r="N187" i="1" s="1"/>
  <c r="B187" i="1"/>
  <c r="A187" i="1"/>
  <c r="Q186" i="1"/>
  <c r="R186" i="1" s="1"/>
  <c r="P186" i="1"/>
  <c r="O186" i="1"/>
  <c r="I186" i="1"/>
  <c r="N186" i="1" s="1"/>
  <c r="B186" i="1"/>
  <c r="A186" i="1"/>
  <c r="Q185" i="1"/>
  <c r="R185" i="1" s="1"/>
  <c r="P185" i="1"/>
  <c r="O185" i="1"/>
  <c r="I185" i="1"/>
  <c r="N185" i="1" s="1"/>
  <c r="B185" i="1"/>
  <c r="A185" i="1"/>
  <c r="Q184" i="1"/>
  <c r="R184" i="1" s="1"/>
  <c r="P184" i="1"/>
  <c r="O184" i="1"/>
  <c r="I184" i="1"/>
  <c r="N184" i="1" s="1"/>
  <c r="B184" i="1"/>
  <c r="A184" i="1"/>
  <c r="Q182" i="1"/>
  <c r="R182" i="1" s="1"/>
  <c r="P182" i="1"/>
  <c r="O182" i="1"/>
  <c r="I182" i="1"/>
  <c r="N182" i="1" s="1"/>
  <c r="B182" i="1"/>
  <c r="A182" i="1"/>
  <c r="Q181" i="1"/>
  <c r="R181" i="1" s="1"/>
  <c r="P181" i="1"/>
  <c r="O181" i="1"/>
  <c r="I181" i="1"/>
  <c r="N181" i="1" s="1"/>
  <c r="B181" i="1"/>
  <c r="A181" i="1"/>
  <c r="Q180" i="1"/>
  <c r="R180" i="1" s="1"/>
  <c r="P180" i="1"/>
  <c r="O180" i="1"/>
  <c r="I180" i="1"/>
  <c r="N180" i="1" s="1"/>
  <c r="B180" i="1"/>
  <c r="A180" i="1"/>
  <c r="Q179" i="1"/>
  <c r="R179" i="1" s="1"/>
  <c r="P179" i="1"/>
  <c r="O179" i="1"/>
  <c r="I179" i="1"/>
  <c r="N179" i="1" s="1"/>
  <c r="B179" i="1"/>
  <c r="A179" i="1"/>
  <c r="Q178" i="1"/>
  <c r="R178" i="1" s="1"/>
  <c r="P178" i="1"/>
  <c r="O178" i="1"/>
  <c r="I178" i="1"/>
  <c r="N178" i="1" s="1"/>
  <c r="B178" i="1"/>
  <c r="A178" i="1"/>
  <c r="Q177" i="1"/>
  <c r="R177" i="1" s="1"/>
  <c r="P177" i="1"/>
  <c r="O177" i="1"/>
  <c r="I177" i="1"/>
  <c r="N177" i="1" s="1"/>
  <c r="B177" i="1"/>
  <c r="A177" i="1"/>
  <c r="Q176" i="1"/>
  <c r="R176" i="1" s="1"/>
  <c r="P176" i="1"/>
  <c r="O176" i="1"/>
  <c r="I176" i="1"/>
  <c r="N176" i="1" s="1"/>
  <c r="B176" i="1"/>
  <c r="A176" i="1"/>
  <c r="Q175" i="1"/>
  <c r="R175" i="1" s="1"/>
  <c r="P175" i="1"/>
  <c r="O175" i="1"/>
  <c r="I175" i="1"/>
  <c r="N175" i="1" s="1"/>
  <c r="B175" i="1"/>
  <c r="A175" i="1"/>
  <c r="Q174" i="1"/>
  <c r="R174" i="1" s="1"/>
  <c r="P174" i="1"/>
  <c r="O174" i="1"/>
  <c r="I174" i="1"/>
  <c r="N174" i="1" s="1"/>
  <c r="B174" i="1"/>
  <c r="A174" i="1"/>
  <c r="B173" i="1"/>
  <c r="A173" i="1"/>
  <c r="Q172" i="1"/>
  <c r="R172" i="1" s="1"/>
  <c r="P172" i="1"/>
  <c r="N172" i="1"/>
  <c r="M172" i="1"/>
  <c r="O172" i="1" s="1"/>
  <c r="B172" i="1"/>
  <c r="A172" i="1"/>
  <c r="Q171" i="1"/>
  <c r="R171" i="1" s="1"/>
  <c r="P171" i="1"/>
  <c r="N171" i="1"/>
  <c r="M171" i="1"/>
  <c r="O171" i="1" s="1"/>
  <c r="B171" i="1"/>
  <c r="A171" i="1"/>
  <c r="Q170" i="1"/>
  <c r="R170" i="1" s="1"/>
  <c r="P170" i="1"/>
  <c r="N170" i="1"/>
  <c r="M170" i="1"/>
  <c r="O170" i="1" s="1"/>
  <c r="B170" i="1"/>
  <c r="A170" i="1"/>
  <c r="Q169" i="1"/>
  <c r="R169" i="1" s="1"/>
  <c r="P169" i="1"/>
  <c r="N169" i="1"/>
  <c r="M169" i="1"/>
  <c r="O169" i="1" s="1"/>
  <c r="B169" i="1"/>
  <c r="A169" i="1"/>
  <c r="Q168" i="1"/>
  <c r="R168" i="1" s="1"/>
  <c r="P168" i="1"/>
  <c r="N168" i="1"/>
  <c r="M168" i="1"/>
  <c r="O168" i="1" s="1"/>
  <c r="B168" i="1"/>
  <c r="A168" i="1"/>
  <c r="Q167" i="1"/>
  <c r="R167" i="1" s="1"/>
  <c r="P167" i="1"/>
  <c r="N167" i="1"/>
  <c r="M167" i="1"/>
  <c r="O167" i="1" s="1"/>
  <c r="B167" i="1"/>
  <c r="A167" i="1"/>
  <c r="Q166" i="1"/>
  <c r="R166" i="1" s="1"/>
  <c r="P166" i="1"/>
  <c r="N166" i="1"/>
  <c r="M166" i="1"/>
  <c r="O166" i="1" s="1"/>
  <c r="B166" i="1"/>
  <c r="A166" i="1"/>
  <c r="Q165" i="1"/>
  <c r="R165" i="1" s="1"/>
  <c r="P165" i="1"/>
  <c r="N165" i="1"/>
  <c r="M165" i="1"/>
  <c r="O165" i="1" s="1"/>
  <c r="B165" i="1"/>
  <c r="A165" i="1"/>
  <c r="Q164" i="1"/>
  <c r="R164" i="1" s="1"/>
  <c r="P164" i="1"/>
  <c r="N164" i="1"/>
  <c r="M164" i="1"/>
  <c r="O164" i="1" s="1"/>
  <c r="B164" i="1"/>
  <c r="A164" i="1"/>
  <c r="Q163" i="1"/>
  <c r="R163" i="1" s="1"/>
  <c r="P163" i="1"/>
  <c r="N163" i="1"/>
  <c r="M163" i="1"/>
  <c r="O163" i="1" s="1"/>
  <c r="B163" i="1"/>
  <c r="A163" i="1"/>
  <c r="N162" i="1"/>
  <c r="M162" i="1"/>
  <c r="O162" i="1" s="1"/>
  <c r="L162" i="1"/>
  <c r="B162" i="1"/>
  <c r="A162" i="1"/>
  <c r="N161" i="1"/>
  <c r="M161" i="1"/>
  <c r="O161" i="1" s="1"/>
  <c r="L161" i="1"/>
  <c r="B161" i="1"/>
  <c r="A161" i="1"/>
  <c r="N160" i="1"/>
  <c r="M160" i="1"/>
  <c r="O160" i="1" s="1"/>
  <c r="L160" i="1"/>
  <c r="B160" i="1"/>
  <c r="A160" i="1"/>
  <c r="N159" i="1"/>
  <c r="M159" i="1"/>
  <c r="L159" i="1"/>
  <c r="H159" i="1"/>
  <c r="B159" i="1"/>
  <c r="A159" i="1"/>
  <c r="N158" i="1"/>
  <c r="M158" i="1"/>
  <c r="O158" i="1" s="1"/>
  <c r="L158" i="1"/>
  <c r="Q158" i="1" s="1"/>
  <c r="R158" i="1" s="1"/>
  <c r="B158" i="1"/>
  <c r="A158" i="1"/>
  <c r="N157" i="1"/>
  <c r="M157" i="1"/>
  <c r="O157" i="1" s="1"/>
  <c r="L157" i="1"/>
  <c r="B157" i="1"/>
  <c r="A157" i="1"/>
  <c r="N156" i="1"/>
  <c r="M156" i="1"/>
  <c r="O156" i="1" s="1"/>
  <c r="L156" i="1"/>
  <c r="Q156" i="1" s="1"/>
  <c r="R156" i="1" s="1"/>
  <c r="B156" i="1"/>
  <c r="A156" i="1"/>
  <c r="Q155" i="1"/>
  <c r="R155" i="1" s="1"/>
  <c r="P155" i="1"/>
  <c r="N155" i="1"/>
  <c r="M155" i="1"/>
  <c r="O155" i="1" s="1"/>
  <c r="B155" i="1"/>
  <c r="A155" i="1"/>
  <c r="Q154" i="1"/>
  <c r="R154" i="1" s="1"/>
  <c r="P154" i="1"/>
  <c r="N154" i="1"/>
  <c r="M154" i="1"/>
  <c r="O154" i="1" s="1"/>
  <c r="B154" i="1"/>
  <c r="A154" i="1"/>
  <c r="N153" i="1"/>
  <c r="M153" i="1"/>
  <c r="O153" i="1" s="1"/>
  <c r="L153" i="1"/>
  <c r="P153" i="1" s="1"/>
  <c r="B153" i="1"/>
  <c r="A153" i="1"/>
  <c r="B152" i="1"/>
  <c r="A152" i="1"/>
  <c r="Q151" i="1"/>
  <c r="R151" i="1" s="1"/>
  <c r="P151" i="1"/>
  <c r="N151" i="1"/>
  <c r="M151" i="1"/>
  <c r="O151" i="1" s="1"/>
  <c r="B151" i="1"/>
  <c r="A151" i="1"/>
  <c r="Q150" i="1"/>
  <c r="R150" i="1" s="1"/>
  <c r="P150" i="1"/>
  <c r="N150" i="1"/>
  <c r="M150" i="1"/>
  <c r="O150" i="1" s="1"/>
  <c r="B150" i="1"/>
  <c r="A150" i="1"/>
  <c r="Q149" i="1"/>
  <c r="R149" i="1" s="1"/>
  <c r="P149" i="1"/>
  <c r="N149" i="1"/>
  <c r="M149" i="1"/>
  <c r="O149" i="1" s="1"/>
  <c r="B149" i="1"/>
  <c r="A149" i="1"/>
  <c r="Q148" i="1"/>
  <c r="R148" i="1" s="1"/>
  <c r="P148" i="1"/>
  <c r="N148" i="1"/>
  <c r="M148" i="1"/>
  <c r="O148" i="1" s="1"/>
  <c r="B148" i="1"/>
  <c r="A148" i="1"/>
  <c r="Q147" i="1"/>
  <c r="R147" i="1" s="1"/>
  <c r="P147" i="1"/>
  <c r="N147" i="1"/>
  <c r="M147" i="1"/>
  <c r="O147" i="1" s="1"/>
  <c r="B147" i="1"/>
  <c r="A147" i="1"/>
  <c r="Q146" i="1"/>
  <c r="R146" i="1" s="1"/>
  <c r="P146" i="1"/>
  <c r="N146" i="1"/>
  <c r="M146" i="1"/>
  <c r="O146" i="1" s="1"/>
  <c r="B146" i="1"/>
  <c r="A146" i="1"/>
  <c r="Q145" i="1"/>
  <c r="R145" i="1" s="1"/>
  <c r="P145" i="1"/>
  <c r="N145" i="1"/>
  <c r="M145" i="1"/>
  <c r="O145" i="1" s="1"/>
  <c r="B145" i="1"/>
  <c r="A145" i="1"/>
  <c r="Q144" i="1"/>
  <c r="R144" i="1" s="1"/>
  <c r="P144" i="1"/>
  <c r="N144" i="1"/>
  <c r="M144" i="1"/>
  <c r="O144" i="1" s="1"/>
  <c r="B144" i="1"/>
  <c r="A144" i="1"/>
  <c r="Q143" i="1"/>
  <c r="R143" i="1" s="1"/>
  <c r="P143" i="1"/>
  <c r="N143" i="1"/>
  <c r="M143" i="1"/>
  <c r="O143" i="1" s="1"/>
  <c r="B143" i="1"/>
  <c r="A143" i="1"/>
  <c r="N142" i="1"/>
  <c r="M142" i="1"/>
  <c r="O142" i="1" s="1"/>
  <c r="L142" i="1"/>
  <c r="Q142" i="1" s="1"/>
  <c r="R142" i="1" s="1"/>
  <c r="B142" i="1"/>
  <c r="A142" i="1"/>
  <c r="N141" i="1"/>
  <c r="M141" i="1"/>
  <c r="O141" i="1" s="1"/>
  <c r="L141" i="1"/>
  <c r="B141" i="1"/>
  <c r="A141" i="1"/>
  <c r="N140" i="1"/>
  <c r="M140" i="1"/>
  <c r="O140" i="1" s="1"/>
  <c r="L140" i="1"/>
  <c r="Q140" i="1" s="1"/>
  <c r="R140" i="1" s="1"/>
  <c r="B140" i="1"/>
  <c r="A140" i="1"/>
  <c r="N139" i="1"/>
  <c r="M139" i="1"/>
  <c r="L139" i="1"/>
  <c r="H139" i="1"/>
  <c r="B139" i="1"/>
  <c r="A139" i="1"/>
  <c r="N138" i="1"/>
  <c r="M138" i="1"/>
  <c r="O138" i="1" s="1"/>
  <c r="L138" i="1"/>
  <c r="Q138" i="1" s="1"/>
  <c r="R138" i="1" s="1"/>
  <c r="B138" i="1"/>
  <c r="A138" i="1"/>
  <c r="N137" i="1"/>
  <c r="M137" i="1"/>
  <c r="O137" i="1" s="1"/>
  <c r="L137" i="1"/>
  <c r="B137" i="1"/>
  <c r="A137" i="1"/>
  <c r="N136" i="1"/>
  <c r="M136" i="1"/>
  <c r="O136" i="1" s="1"/>
  <c r="L136" i="1"/>
  <c r="B136" i="1"/>
  <c r="A136" i="1"/>
  <c r="Q135" i="1"/>
  <c r="R135" i="1" s="1"/>
  <c r="P135" i="1"/>
  <c r="N135" i="1"/>
  <c r="M135" i="1"/>
  <c r="O135" i="1" s="1"/>
  <c r="B135" i="1"/>
  <c r="A135" i="1"/>
  <c r="N134" i="1"/>
  <c r="M134" i="1"/>
  <c r="O134" i="1" s="1"/>
  <c r="L134" i="1"/>
  <c r="B134" i="1"/>
  <c r="A134" i="1"/>
  <c r="B133" i="1"/>
  <c r="A133" i="1"/>
  <c r="Q132" i="1"/>
  <c r="R132" i="1" s="1"/>
  <c r="P132" i="1"/>
  <c r="N132" i="1"/>
  <c r="M132" i="1"/>
  <c r="O132" i="1" s="1"/>
  <c r="B132" i="1"/>
  <c r="A132" i="1"/>
  <c r="Q131" i="1"/>
  <c r="R131" i="1" s="1"/>
  <c r="P131" i="1"/>
  <c r="N131" i="1"/>
  <c r="M131" i="1"/>
  <c r="O131" i="1" s="1"/>
  <c r="B131" i="1"/>
  <c r="A131" i="1"/>
  <c r="Q130" i="1"/>
  <c r="R130" i="1" s="1"/>
  <c r="P130" i="1"/>
  <c r="N130" i="1"/>
  <c r="M130" i="1"/>
  <c r="O130" i="1" s="1"/>
  <c r="B130" i="1"/>
  <c r="A130" i="1"/>
  <c r="Q129" i="1"/>
  <c r="R129" i="1" s="1"/>
  <c r="P129" i="1"/>
  <c r="N129" i="1"/>
  <c r="M129" i="1"/>
  <c r="O129" i="1" s="1"/>
  <c r="B129" i="1"/>
  <c r="A129" i="1"/>
  <c r="Q128" i="1"/>
  <c r="R128" i="1" s="1"/>
  <c r="P128" i="1"/>
  <c r="N128" i="1"/>
  <c r="M128" i="1"/>
  <c r="O128" i="1" s="1"/>
  <c r="B128" i="1"/>
  <c r="A128" i="1"/>
  <c r="Q127" i="1"/>
  <c r="R127" i="1" s="1"/>
  <c r="P127" i="1"/>
  <c r="N127" i="1"/>
  <c r="M127" i="1"/>
  <c r="O127" i="1" s="1"/>
  <c r="B127" i="1"/>
  <c r="A127" i="1"/>
  <c r="Q126" i="1"/>
  <c r="R126" i="1" s="1"/>
  <c r="P126" i="1"/>
  <c r="N126" i="1"/>
  <c r="M126" i="1"/>
  <c r="O126" i="1" s="1"/>
  <c r="B126" i="1"/>
  <c r="A126" i="1"/>
  <c r="Q125" i="1"/>
  <c r="R125" i="1" s="1"/>
  <c r="P125" i="1"/>
  <c r="N125" i="1"/>
  <c r="M125" i="1"/>
  <c r="O125" i="1" s="1"/>
  <c r="B125" i="1"/>
  <c r="A125" i="1"/>
  <c r="Q124" i="1"/>
  <c r="R124" i="1" s="1"/>
  <c r="P124" i="1"/>
  <c r="N124" i="1"/>
  <c r="M124" i="1"/>
  <c r="O124" i="1" s="1"/>
  <c r="B124" i="1"/>
  <c r="A124" i="1"/>
  <c r="Q123" i="1"/>
  <c r="R123" i="1" s="1"/>
  <c r="P123" i="1"/>
  <c r="N123" i="1"/>
  <c r="M123" i="1"/>
  <c r="O123" i="1" s="1"/>
  <c r="B123" i="1"/>
  <c r="A123" i="1"/>
  <c r="Q122" i="1"/>
  <c r="R122" i="1" s="1"/>
  <c r="P122" i="1"/>
  <c r="N122" i="1"/>
  <c r="M122" i="1"/>
  <c r="O122" i="1" s="1"/>
  <c r="B122" i="1"/>
  <c r="A122" i="1"/>
  <c r="Q121" i="1"/>
  <c r="R121" i="1" s="1"/>
  <c r="P121" i="1"/>
  <c r="N121" i="1"/>
  <c r="M121" i="1"/>
  <c r="O121" i="1" s="1"/>
  <c r="B121" i="1"/>
  <c r="A121" i="1"/>
  <c r="Q120" i="1"/>
  <c r="R120" i="1" s="1"/>
  <c r="P120" i="1"/>
  <c r="N120" i="1"/>
  <c r="M120" i="1"/>
  <c r="O120" i="1" s="1"/>
  <c r="B120" i="1"/>
  <c r="A120" i="1"/>
  <c r="Q119" i="1"/>
  <c r="R119" i="1" s="1"/>
  <c r="P119" i="1"/>
  <c r="N119" i="1"/>
  <c r="M119" i="1"/>
  <c r="O119" i="1" s="1"/>
  <c r="B119" i="1"/>
  <c r="A119" i="1"/>
  <c r="Q118" i="1"/>
  <c r="R118" i="1" s="1"/>
  <c r="P118" i="1"/>
  <c r="N118" i="1"/>
  <c r="M118" i="1"/>
  <c r="O118" i="1" s="1"/>
  <c r="B118" i="1"/>
  <c r="A118" i="1"/>
  <c r="Q117" i="1"/>
  <c r="R117" i="1" s="1"/>
  <c r="P117" i="1"/>
  <c r="N117" i="1"/>
  <c r="M117" i="1"/>
  <c r="O117" i="1" s="1"/>
  <c r="B117" i="1"/>
  <c r="A117" i="1"/>
  <c r="Q116" i="1"/>
  <c r="R116" i="1" s="1"/>
  <c r="P116" i="1"/>
  <c r="N116" i="1"/>
  <c r="M116" i="1"/>
  <c r="O116" i="1" s="1"/>
  <c r="B116" i="1"/>
  <c r="A116" i="1"/>
  <c r="Q115" i="1"/>
  <c r="R115" i="1" s="1"/>
  <c r="P115" i="1"/>
  <c r="N115" i="1"/>
  <c r="M115" i="1"/>
  <c r="O115" i="1" s="1"/>
  <c r="B115" i="1"/>
  <c r="A115" i="1"/>
  <c r="N114" i="1"/>
  <c r="M114" i="1"/>
  <c r="O114" i="1" s="1"/>
  <c r="L114" i="1"/>
  <c r="B114" i="1"/>
  <c r="A114" i="1"/>
  <c r="N113" i="1"/>
  <c r="M113" i="1"/>
  <c r="O113" i="1" s="1"/>
  <c r="L113" i="1"/>
  <c r="B113" i="1"/>
  <c r="A113" i="1"/>
  <c r="N112" i="1"/>
  <c r="M112" i="1"/>
  <c r="O112" i="1" s="1"/>
  <c r="L112" i="1"/>
  <c r="Q112" i="1" s="1"/>
  <c r="R112" i="1" s="1"/>
  <c r="B112" i="1"/>
  <c r="A112" i="1"/>
  <c r="N111" i="1"/>
  <c r="M111" i="1"/>
  <c r="L111" i="1"/>
  <c r="H111" i="1"/>
  <c r="B111" i="1"/>
  <c r="A111" i="1"/>
  <c r="N110" i="1"/>
  <c r="M110" i="1"/>
  <c r="L110" i="1"/>
  <c r="H110" i="1"/>
  <c r="B110" i="1"/>
  <c r="A110" i="1"/>
  <c r="N109" i="1"/>
  <c r="M109" i="1"/>
  <c r="O109" i="1" s="1"/>
  <c r="L109" i="1"/>
  <c r="B109" i="1"/>
  <c r="A109" i="1"/>
  <c r="N108" i="1"/>
  <c r="M108" i="1"/>
  <c r="O108" i="1" s="1"/>
  <c r="L108" i="1"/>
  <c r="B108" i="1"/>
  <c r="A108" i="1"/>
  <c r="Q107" i="1"/>
  <c r="R107" i="1" s="1"/>
  <c r="P107" i="1"/>
  <c r="N107" i="1"/>
  <c r="M107" i="1"/>
  <c r="O107" i="1" s="1"/>
  <c r="B107" i="1"/>
  <c r="A107" i="1"/>
  <c r="Q106" i="1"/>
  <c r="R106" i="1" s="1"/>
  <c r="P106" i="1"/>
  <c r="N106" i="1"/>
  <c r="M106" i="1"/>
  <c r="O106" i="1" s="1"/>
  <c r="B106" i="1"/>
  <c r="A106" i="1"/>
  <c r="N105" i="1"/>
  <c r="M105" i="1"/>
  <c r="O105" i="1" s="1"/>
  <c r="L105" i="1"/>
  <c r="B105" i="1"/>
  <c r="A105" i="1"/>
  <c r="N104" i="1"/>
  <c r="M104" i="1"/>
  <c r="O104" i="1" s="1"/>
  <c r="L104" i="1"/>
  <c r="Q104" i="1" s="1"/>
  <c r="R104" i="1" s="1"/>
  <c r="B104" i="1"/>
  <c r="A104" i="1"/>
  <c r="B103" i="1"/>
  <c r="A103" i="1"/>
  <c r="N102" i="1"/>
  <c r="M102" i="1"/>
  <c r="H102" i="1"/>
  <c r="P102" i="1" s="1"/>
  <c r="B102" i="1"/>
  <c r="A102" i="1"/>
  <c r="Q101" i="1"/>
  <c r="R101" i="1" s="1"/>
  <c r="P101" i="1"/>
  <c r="N101" i="1"/>
  <c r="M101" i="1"/>
  <c r="O101" i="1" s="1"/>
  <c r="B101" i="1"/>
  <c r="A101" i="1"/>
  <c r="Q100" i="1"/>
  <c r="R100" i="1" s="1"/>
  <c r="P100" i="1"/>
  <c r="N100" i="1"/>
  <c r="M100" i="1"/>
  <c r="O100" i="1" s="1"/>
  <c r="B100" i="1"/>
  <c r="A100" i="1"/>
  <c r="Q99" i="1"/>
  <c r="R99" i="1" s="1"/>
  <c r="P99" i="1"/>
  <c r="N99" i="1"/>
  <c r="M99" i="1"/>
  <c r="O99" i="1" s="1"/>
  <c r="B99" i="1"/>
  <c r="A99" i="1"/>
  <c r="Q98" i="1"/>
  <c r="R98" i="1" s="1"/>
  <c r="P98" i="1"/>
  <c r="N98" i="1"/>
  <c r="M98" i="1"/>
  <c r="O98" i="1" s="1"/>
  <c r="B98" i="1"/>
  <c r="A98" i="1"/>
  <c r="Q97" i="1"/>
  <c r="R97" i="1" s="1"/>
  <c r="P97" i="1"/>
  <c r="N97" i="1"/>
  <c r="M97" i="1"/>
  <c r="O97" i="1" s="1"/>
  <c r="B97" i="1"/>
  <c r="A97" i="1"/>
  <c r="Q96" i="1"/>
  <c r="R96" i="1" s="1"/>
  <c r="P96" i="1"/>
  <c r="N96" i="1"/>
  <c r="M96" i="1"/>
  <c r="O96" i="1" s="1"/>
  <c r="B96" i="1"/>
  <c r="A96" i="1"/>
  <c r="Q95" i="1"/>
  <c r="R95" i="1" s="1"/>
  <c r="P95" i="1"/>
  <c r="N95" i="1"/>
  <c r="M95" i="1"/>
  <c r="O95" i="1" s="1"/>
  <c r="B95" i="1"/>
  <c r="A95" i="1"/>
  <c r="Q94" i="1"/>
  <c r="R94" i="1" s="1"/>
  <c r="P94" i="1"/>
  <c r="N94" i="1"/>
  <c r="M94" i="1"/>
  <c r="O94" i="1" s="1"/>
  <c r="B94" i="1"/>
  <c r="A94" i="1"/>
  <c r="Q93" i="1"/>
  <c r="R93" i="1" s="1"/>
  <c r="P93" i="1"/>
  <c r="N93" i="1"/>
  <c r="M93" i="1"/>
  <c r="O93" i="1" s="1"/>
  <c r="B93" i="1"/>
  <c r="A93" i="1"/>
  <c r="Q92" i="1"/>
  <c r="R92" i="1" s="1"/>
  <c r="P92" i="1"/>
  <c r="N92" i="1"/>
  <c r="M92" i="1"/>
  <c r="O92" i="1" s="1"/>
  <c r="B92" i="1"/>
  <c r="A92" i="1"/>
  <c r="Q91" i="1"/>
  <c r="R91" i="1" s="1"/>
  <c r="P91" i="1"/>
  <c r="N91" i="1"/>
  <c r="M91" i="1"/>
  <c r="O91" i="1" s="1"/>
  <c r="B91" i="1"/>
  <c r="A91" i="1"/>
  <c r="Q90" i="1"/>
  <c r="R90" i="1" s="1"/>
  <c r="P90" i="1"/>
  <c r="N90" i="1"/>
  <c r="M90" i="1"/>
  <c r="O90" i="1" s="1"/>
  <c r="B90" i="1"/>
  <c r="A90" i="1"/>
  <c r="Q89" i="1"/>
  <c r="R89" i="1" s="1"/>
  <c r="P89" i="1"/>
  <c r="N89" i="1"/>
  <c r="M89" i="1"/>
  <c r="O89" i="1" s="1"/>
  <c r="B89" i="1"/>
  <c r="A89" i="1"/>
  <c r="N88" i="1"/>
  <c r="M88" i="1"/>
  <c r="H88" i="1"/>
  <c r="B88" i="1"/>
  <c r="A88" i="1"/>
  <c r="Q87" i="1"/>
  <c r="R87" i="1" s="1"/>
  <c r="P87" i="1"/>
  <c r="N87" i="1"/>
  <c r="M87" i="1"/>
  <c r="O87" i="1" s="1"/>
  <c r="B87" i="1"/>
  <c r="A87" i="1"/>
  <c r="Q86" i="1"/>
  <c r="R86" i="1" s="1"/>
  <c r="P86" i="1"/>
  <c r="N86" i="1"/>
  <c r="M86" i="1"/>
  <c r="O86" i="1" s="1"/>
  <c r="B86" i="1"/>
  <c r="A86" i="1"/>
  <c r="Q85" i="1"/>
  <c r="R85" i="1" s="1"/>
  <c r="P85" i="1"/>
  <c r="N85" i="1"/>
  <c r="M85" i="1"/>
  <c r="O85" i="1" s="1"/>
  <c r="B85" i="1"/>
  <c r="A85" i="1"/>
  <c r="Q84" i="1"/>
  <c r="R84" i="1" s="1"/>
  <c r="P84" i="1"/>
  <c r="N84" i="1"/>
  <c r="M84" i="1"/>
  <c r="O84" i="1" s="1"/>
  <c r="B84" i="1"/>
  <c r="A84" i="1"/>
  <c r="Q83" i="1"/>
  <c r="R83" i="1" s="1"/>
  <c r="P83" i="1"/>
  <c r="N83" i="1"/>
  <c r="M83" i="1"/>
  <c r="O83" i="1" s="1"/>
  <c r="B83" i="1"/>
  <c r="A83" i="1"/>
  <c r="Q82" i="1"/>
  <c r="R82" i="1" s="1"/>
  <c r="P82" i="1"/>
  <c r="N82" i="1"/>
  <c r="M82" i="1"/>
  <c r="O82" i="1" s="1"/>
  <c r="B82" i="1"/>
  <c r="A82" i="1"/>
  <c r="Q81" i="1"/>
  <c r="R81" i="1" s="1"/>
  <c r="P81" i="1"/>
  <c r="N81" i="1"/>
  <c r="M81" i="1"/>
  <c r="O81" i="1" s="1"/>
  <c r="B81" i="1"/>
  <c r="A81" i="1"/>
  <c r="N80" i="1"/>
  <c r="M80" i="1"/>
  <c r="O80" i="1" s="1"/>
  <c r="L80" i="1"/>
  <c r="Q80" i="1" s="1"/>
  <c r="R80" i="1" s="1"/>
  <c r="B80" i="1"/>
  <c r="A80" i="1"/>
  <c r="N79" i="1"/>
  <c r="M79" i="1"/>
  <c r="O79" i="1" s="1"/>
  <c r="L79" i="1"/>
  <c r="Q79" i="1" s="1"/>
  <c r="R79" i="1" s="1"/>
  <c r="B79" i="1"/>
  <c r="A79" i="1"/>
  <c r="N78" i="1"/>
  <c r="M78" i="1"/>
  <c r="O78" i="1" s="1"/>
  <c r="L78" i="1"/>
  <c r="P78" i="1" s="1"/>
  <c r="B78" i="1"/>
  <c r="A78" i="1"/>
  <c r="N77" i="1"/>
  <c r="M77" i="1"/>
  <c r="L77" i="1"/>
  <c r="H77" i="1"/>
  <c r="B77" i="1"/>
  <c r="A77" i="1"/>
  <c r="N76" i="1"/>
  <c r="M76" i="1"/>
  <c r="O76" i="1" s="1"/>
  <c r="L76" i="1"/>
  <c r="Q76" i="1" s="1"/>
  <c r="R76" i="1" s="1"/>
  <c r="B76" i="1"/>
  <c r="A76" i="1"/>
  <c r="N75" i="1"/>
  <c r="M75" i="1"/>
  <c r="O75" i="1" s="1"/>
  <c r="L75" i="1"/>
  <c r="Q75" i="1" s="1"/>
  <c r="R75" i="1" s="1"/>
  <c r="B75" i="1"/>
  <c r="A75" i="1"/>
  <c r="N74" i="1"/>
  <c r="M74" i="1"/>
  <c r="O74" i="1" s="1"/>
  <c r="L74" i="1"/>
  <c r="Q74" i="1" s="1"/>
  <c r="R74" i="1" s="1"/>
  <c r="B74" i="1"/>
  <c r="A74" i="1"/>
  <c r="Q73" i="1"/>
  <c r="R73" i="1" s="1"/>
  <c r="P73" i="1"/>
  <c r="N73" i="1"/>
  <c r="M73" i="1"/>
  <c r="O73" i="1" s="1"/>
  <c r="B73" i="1"/>
  <c r="A73" i="1"/>
  <c r="Q72" i="1"/>
  <c r="R72" i="1" s="1"/>
  <c r="P72" i="1"/>
  <c r="N72" i="1"/>
  <c r="M72" i="1"/>
  <c r="O72" i="1" s="1"/>
  <c r="B72" i="1"/>
  <c r="A72" i="1"/>
  <c r="N71" i="1"/>
  <c r="M71" i="1"/>
  <c r="O71" i="1" s="1"/>
  <c r="L71" i="1"/>
  <c r="P71" i="1" s="1"/>
  <c r="B71" i="1"/>
  <c r="A71" i="1"/>
  <c r="N70" i="1"/>
  <c r="M70" i="1"/>
  <c r="O70" i="1" s="1"/>
  <c r="L70" i="1"/>
  <c r="Q70" i="1" s="1"/>
  <c r="R70" i="1" s="1"/>
  <c r="B70" i="1"/>
  <c r="A70" i="1"/>
  <c r="B68" i="1"/>
  <c r="A68" i="1"/>
  <c r="B67" i="1"/>
  <c r="A67" i="1"/>
  <c r="N66" i="1"/>
  <c r="M66" i="1"/>
  <c r="O66" i="1" s="1"/>
  <c r="L66" i="1"/>
  <c r="Q66" i="1" s="1"/>
  <c r="R66" i="1" s="1"/>
  <c r="B66" i="1"/>
  <c r="A66" i="1"/>
  <c r="N65" i="1"/>
  <c r="M65" i="1"/>
  <c r="O65" i="1" s="1"/>
  <c r="L65" i="1"/>
  <c r="B65" i="1"/>
  <c r="A65" i="1"/>
  <c r="N64" i="1"/>
  <c r="M64" i="1"/>
  <c r="O64" i="1" s="1"/>
  <c r="L64" i="1"/>
  <c r="P64" i="1" s="1"/>
  <c r="B64" i="1"/>
  <c r="A64" i="1"/>
  <c r="N63" i="1"/>
  <c r="M63" i="1"/>
  <c r="O63" i="1" s="1"/>
  <c r="L63" i="1"/>
  <c r="P63" i="1" s="1"/>
  <c r="B63" i="1"/>
  <c r="A63" i="1"/>
  <c r="N62" i="1"/>
  <c r="M62" i="1"/>
  <c r="O62" i="1" s="1"/>
  <c r="L62" i="1"/>
  <c r="Q62" i="1" s="1"/>
  <c r="R62" i="1" s="1"/>
  <c r="B62" i="1"/>
  <c r="A62" i="1"/>
  <c r="N61" i="1"/>
  <c r="M61" i="1"/>
  <c r="O61" i="1" s="1"/>
  <c r="L61" i="1"/>
  <c r="B61" i="1"/>
  <c r="A61" i="1"/>
  <c r="N60" i="1"/>
  <c r="M60" i="1"/>
  <c r="O60" i="1" s="1"/>
  <c r="L60" i="1"/>
  <c r="Q60" i="1" s="1"/>
  <c r="R60" i="1" s="1"/>
  <c r="B60" i="1"/>
  <c r="A60" i="1"/>
  <c r="N59" i="1"/>
  <c r="M59" i="1"/>
  <c r="O59" i="1" s="1"/>
  <c r="L59" i="1"/>
  <c r="P59" i="1" s="1"/>
  <c r="B59" i="1"/>
  <c r="A59" i="1"/>
  <c r="N58" i="1"/>
  <c r="M58" i="1"/>
  <c r="O58" i="1" s="1"/>
  <c r="L58" i="1"/>
  <c r="P58" i="1" s="1"/>
  <c r="B58" i="1"/>
  <c r="A58" i="1"/>
  <c r="N57" i="1"/>
  <c r="M57" i="1"/>
  <c r="O57" i="1" s="1"/>
  <c r="L57" i="1"/>
  <c r="Q57" i="1" s="1"/>
  <c r="R57" i="1" s="1"/>
  <c r="B57" i="1"/>
  <c r="A57" i="1"/>
  <c r="N56" i="1"/>
  <c r="M56" i="1"/>
  <c r="O56" i="1" s="1"/>
  <c r="L56" i="1"/>
  <c r="P56" i="1" s="1"/>
  <c r="B56" i="1"/>
  <c r="A56" i="1"/>
  <c r="N55" i="1"/>
  <c r="M55" i="1"/>
  <c r="O55" i="1" s="1"/>
  <c r="L55" i="1"/>
  <c r="Q55" i="1" s="1"/>
  <c r="R55" i="1" s="1"/>
  <c r="B55" i="1"/>
  <c r="A55" i="1"/>
  <c r="N54" i="1"/>
  <c r="M54" i="1"/>
  <c r="H54" i="1"/>
  <c r="Q54" i="1" s="1"/>
  <c r="R54" i="1" s="1"/>
  <c r="B54" i="1"/>
  <c r="A54" i="1"/>
  <c r="Q53" i="1"/>
  <c r="R53" i="1" s="1"/>
  <c r="P53" i="1"/>
  <c r="N53" i="1"/>
  <c r="M53" i="1"/>
  <c r="O53" i="1" s="1"/>
  <c r="B53" i="1"/>
  <c r="A53" i="1"/>
  <c r="N52" i="1"/>
  <c r="M52" i="1"/>
  <c r="O52" i="1" s="1"/>
  <c r="L52" i="1"/>
  <c r="Q52" i="1" s="1"/>
  <c r="R52" i="1" s="1"/>
  <c r="B52" i="1"/>
  <c r="A52" i="1"/>
  <c r="N51" i="1"/>
  <c r="M51" i="1"/>
  <c r="O51" i="1" s="1"/>
  <c r="L51" i="1"/>
  <c r="Q51" i="1" s="1"/>
  <c r="R51" i="1" s="1"/>
  <c r="B51" i="1"/>
  <c r="A51" i="1"/>
  <c r="N50" i="1"/>
  <c r="M50" i="1"/>
  <c r="L50" i="1"/>
  <c r="H50" i="1"/>
  <c r="B50" i="1"/>
  <c r="A50" i="1"/>
  <c r="N49" i="1"/>
  <c r="M49" i="1"/>
  <c r="O49" i="1" s="1"/>
  <c r="L49" i="1"/>
  <c r="Q49" i="1" s="1"/>
  <c r="R49" i="1" s="1"/>
  <c r="B49" i="1"/>
  <c r="A49" i="1"/>
  <c r="Q48" i="1"/>
  <c r="R48" i="1" s="1"/>
  <c r="P48" i="1"/>
  <c r="N48" i="1"/>
  <c r="M48" i="1"/>
  <c r="O48" i="1" s="1"/>
  <c r="B48" i="1"/>
  <c r="A48" i="1"/>
  <c r="Q47" i="1"/>
  <c r="R47" i="1" s="1"/>
  <c r="P47" i="1"/>
  <c r="N47" i="1"/>
  <c r="M47" i="1"/>
  <c r="O47" i="1" s="1"/>
  <c r="B47" i="1"/>
  <c r="A47" i="1"/>
  <c r="Q46" i="1"/>
  <c r="R46" i="1" s="1"/>
  <c r="P46" i="1"/>
  <c r="N46" i="1"/>
  <c r="M46" i="1"/>
  <c r="O46" i="1" s="1"/>
  <c r="B46" i="1"/>
  <c r="A46" i="1"/>
  <c r="Q45" i="1"/>
  <c r="R45" i="1" s="1"/>
  <c r="P45" i="1"/>
  <c r="N45" i="1"/>
  <c r="M45" i="1"/>
  <c r="O45" i="1" s="1"/>
  <c r="B45" i="1"/>
  <c r="A45" i="1"/>
  <c r="N44" i="1"/>
  <c r="M44" i="1"/>
  <c r="H44" i="1"/>
  <c r="P44" i="1" s="1"/>
  <c r="B44" i="1"/>
  <c r="A44" i="1"/>
  <c r="N43" i="1"/>
  <c r="M43" i="1"/>
  <c r="O43" i="1" s="1"/>
  <c r="L43" i="1"/>
  <c r="P43" i="1" s="1"/>
  <c r="B43" i="1"/>
  <c r="A43" i="1"/>
  <c r="N42" i="1"/>
  <c r="M42" i="1"/>
  <c r="O42" i="1" s="1"/>
  <c r="P42" i="1"/>
  <c r="B42" i="1"/>
  <c r="A42" i="1"/>
  <c r="Q41" i="1"/>
  <c r="R41" i="1" s="1"/>
  <c r="P41" i="1"/>
  <c r="N41" i="1"/>
  <c r="M41" i="1"/>
  <c r="O41" i="1" s="1"/>
  <c r="B41" i="1"/>
  <c r="A41" i="1"/>
  <c r="N40" i="1"/>
  <c r="B40" i="1"/>
  <c r="A40" i="1"/>
  <c r="N39" i="1"/>
  <c r="M39" i="1"/>
  <c r="O39" i="1" s="1"/>
  <c r="P39" i="1"/>
  <c r="B39" i="1"/>
  <c r="A39" i="1"/>
  <c r="B38" i="1"/>
  <c r="A38" i="1"/>
  <c r="N37" i="1"/>
  <c r="M37" i="1"/>
  <c r="O37" i="1" s="1"/>
  <c r="L37" i="1"/>
  <c r="Q37" i="1" s="1"/>
  <c r="R37" i="1" s="1"/>
  <c r="B37" i="1"/>
  <c r="A37" i="1"/>
  <c r="N36" i="1"/>
  <c r="M36" i="1"/>
  <c r="O36" i="1" s="1"/>
  <c r="L36" i="1"/>
  <c r="Q36" i="1" s="1"/>
  <c r="R36" i="1" s="1"/>
  <c r="B36" i="1"/>
  <c r="A36" i="1"/>
  <c r="N35" i="1"/>
  <c r="M35" i="1"/>
  <c r="O35" i="1" s="1"/>
  <c r="L35" i="1"/>
  <c r="Q35" i="1" s="1"/>
  <c r="R35" i="1" s="1"/>
  <c r="B35" i="1"/>
  <c r="A35" i="1"/>
  <c r="N34" i="1"/>
  <c r="M34" i="1"/>
  <c r="O34" i="1" s="1"/>
  <c r="L34" i="1"/>
  <c r="B34" i="1"/>
  <c r="A34" i="1"/>
  <c r="N33" i="1"/>
  <c r="M33" i="1"/>
  <c r="O33" i="1" s="1"/>
  <c r="L33" i="1"/>
  <c r="B33" i="1"/>
  <c r="A33" i="1"/>
  <c r="N32" i="1"/>
  <c r="M32" i="1"/>
  <c r="O32" i="1" s="1"/>
  <c r="L32" i="1"/>
  <c r="P32" i="1" s="1"/>
  <c r="B32" i="1"/>
  <c r="A32" i="1"/>
  <c r="N31" i="1"/>
  <c r="M31" i="1"/>
  <c r="O31" i="1" s="1"/>
  <c r="L31" i="1"/>
  <c r="Q31" i="1" s="1"/>
  <c r="R31" i="1" s="1"/>
  <c r="B31" i="1"/>
  <c r="A31" i="1"/>
  <c r="N30" i="1"/>
  <c r="M30" i="1"/>
  <c r="O30" i="1" s="1"/>
  <c r="L30" i="1"/>
  <c r="B30" i="1"/>
  <c r="A30" i="1"/>
  <c r="N29" i="1"/>
  <c r="M29" i="1"/>
  <c r="O29" i="1" s="1"/>
  <c r="L29" i="1"/>
  <c r="Q29" i="1" s="1"/>
  <c r="R29" i="1" s="1"/>
  <c r="B29" i="1"/>
  <c r="A29" i="1"/>
  <c r="N28" i="1"/>
  <c r="M28" i="1"/>
  <c r="O28" i="1" s="1"/>
  <c r="L28" i="1"/>
  <c r="P28" i="1" s="1"/>
  <c r="B28" i="1"/>
  <c r="A28" i="1"/>
  <c r="N27" i="1"/>
  <c r="M27" i="1"/>
  <c r="O27" i="1" s="1"/>
  <c r="L27" i="1"/>
  <c r="Q27" i="1" s="1"/>
  <c r="R27" i="1" s="1"/>
  <c r="B27" i="1"/>
  <c r="A27" i="1"/>
  <c r="N26" i="1"/>
  <c r="M26" i="1"/>
  <c r="O26" i="1" s="1"/>
  <c r="L26" i="1"/>
  <c r="P26" i="1" s="1"/>
  <c r="B26" i="1"/>
  <c r="A26" i="1"/>
  <c r="N25" i="1"/>
  <c r="M25" i="1"/>
  <c r="O25" i="1" s="1"/>
  <c r="L25" i="1"/>
  <c r="Q25" i="1" s="1"/>
  <c r="R25" i="1" s="1"/>
  <c r="B25" i="1"/>
  <c r="A25" i="1"/>
  <c r="N24" i="1"/>
  <c r="M24" i="1"/>
  <c r="O24" i="1" s="1"/>
  <c r="L24" i="1"/>
  <c r="P24" i="1" s="1"/>
  <c r="B24" i="1"/>
  <c r="A24" i="1"/>
  <c r="N23" i="1"/>
  <c r="M23" i="1"/>
  <c r="O23" i="1" s="1"/>
  <c r="L23" i="1"/>
  <c r="P23" i="1" s="1"/>
  <c r="B23" i="1"/>
  <c r="A23" i="1"/>
  <c r="N22" i="1"/>
  <c r="M22" i="1"/>
  <c r="O22" i="1" s="1"/>
  <c r="L22" i="1"/>
  <c r="Q22" i="1" s="1"/>
  <c r="R22" i="1" s="1"/>
  <c r="B22" i="1"/>
  <c r="A22" i="1"/>
  <c r="N21" i="1"/>
  <c r="M21" i="1"/>
  <c r="O21" i="1" s="1"/>
  <c r="L21" i="1"/>
  <c r="P21" i="1" s="1"/>
  <c r="B21" i="1"/>
  <c r="A21" i="1"/>
  <c r="N20" i="1"/>
  <c r="M20" i="1"/>
  <c r="O20" i="1" s="1"/>
  <c r="L20" i="1"/>
  <c r="P20" i="1" s="1"/>
  <c r="B20" i="1"/>
  <c r="A20" i="1"/>
  <c r="N19" i="1"/>
  <c r="M19" i="1"/>
  <c r="O19" i="1" s="1"/>
  <c r="L19" i="1"/>
  <c r="B19" i="1"/>
  <c r="A19" i="1"/>
  <c r="N18" i="1"/>
  <c r="M18" i="1"/>
  <c r="O18" i="1" s="1"/>
  <c r="L18" i="1"/>
  <c r="Q18" i="1" s="1"/>
  <c r="R18" i="1" s="1"/>
  <c r="B18" i="1"/>
  <c r="A18" i="1"/>
  <c r="Q17" i="1"/>
  <c r="R17" i="1" s="1"/>
  <c r="P17" i="1"/>
  <c r="N17" i="1"/>
  <c r="M17" i="1"/>
  <c r="O17" i="1" s="1"/>
  <c r="B17" i="1"/>
  <c r="A17" i="1"/>
  <c r="Q16" i="1"/>
  <c r="R16" i="1" s="1"/>
  <c r="P16" i="1"/>
  <c r="N16" i="1"/>
  <c r="M16" i="1"/>
  <c r="O16" i="1" s="1"/>
  <c r="B16" i="1"/>
  <c r="A16" i="1"/>
  <c r="N15" i="1"/>
  <c r="M15" i="1"/>
  <c r="O15" i="1" s="1"/>
  <c r="L15" i="1"/>
  <c r="P15" i="1" s="1"/>
  <c r="B15" i="1"/>
  <c r="A15" i="1"/>
  <c r="N14" i="1"/>
  <c r="M14" i="1"/>
  <c r="O14" i="1" s="1"/>
  <c r="L14" i="1"/>
  <c r="P14" i="1" s="1"/>
  <c r="B14" i="1"/>
  <c r="A14" i="1"/>
  <c r="N13" i="1"/>
  <c r="M13" i="1"/>
  <c r="O13" i="1" s="1"/>
  <c r="L13" i="1"/>
  <c r="Q13" i="1" s="1"/>
  <c r="R13" i="1" s="1"/>
  <c r="B13" i="1"/>
  <c r="A13" i="1"/>
  <c r="N12" i="1"/>
  <c r="M12" i="1"/>
  <c r="O12" i="1" s="1"/>
  <c r="L12" i="1"/>
  <c r="Q12" i="1" s="1"/>
  <c r="R12" i="1" s="1"/>
  <c r="B12" i="1"/>
  <c r="A12" i="1"/>
  <c r="N11" i="1"/>
  <c r="M11" i="1"/>
  <c r="H11" i="1"/>
  <c r="Q11" i="1" s="1"/>
  <c r="R11" i="1" s="1"/>
  <c r="B11" i="1"/>
  <c r="A11" i="1"/>
  <c r="Q10" i="1"/>
  <c r="R10" i="1" s="1"/>
  <c r="P10" i="1"/>
  <c r="N10" i="1"/>
  <c r="M10" i="1"/>
  <c r="O10" i="1" s="1"/>
  <c r="B10" i="1"/>
  <c r="A10" i="1"/>
  <c r="Q9" i="1"/>
  <c r="R9" i="1" s="1"/>
  <c r="P9" i="1"/>
  <c r="N9" i="1"/>
  <c r="M9" i="1"/>
  <c r="O9" i="1" s="1"/>
  <c r="B9" i="1"/>
  <c r="A9" i="1"/>
  <c r="Q8" i="1"/>
  <c r="R8" i="1" s="1"/>
  <c r="P8" i="1"/>
  <c r="N8" i="1"/>
  <c r="M8" i="1"/>
  <c r="O8" i="1" s="1"/>
  <c r="B8" i="1"/>
  <c r="A8" i="1"/>
  <c r="N7" i="1"/>
  <c r="M7" i="1"/>
  <c r="H7" i="1"/>
  <c r="Q7" i="1" s="1"/>
  <c r="R7" i="1" s="1"/>
  <c r="B7" i="1"/>
  <c r="A7" i="1"/>
  <c r="N6" i="1"/>
  <c r="M6" i="1"/>
  <c r="O6" i="1" s="1"/>
  <c r="L6" i="1"/>
  <c r="Q6" i="1" s="1"/>
  <c r="R6" i="1" s="1"/>
  <c r="B6" i="1"/>
  <c r="A6" i="1"/>
  <c r="N5" i="1"/>
  <c r="M5" i="1"/>
  <c r="O5" i="1" s="1"/>
  <c r="L5" i="1"/>
  <c r="P5" i="1" s="1"/>
  <c r="B5" i="1"/>
  <c r="A5" i="1"/>
  <c r="Q4" i="1"/>
  <c r="R4" i="1" s="1"/>
  <c r="P4" i="1"/>
  <c r="N4" i="1"/>
  <c r="M4" i="1"/>
  <c r="O4" i="1" s="1"/>
  <c r="B4" i="1"/>
  <c r="A4" i="1"/>
  <c r="Q3" i="1"/>
  <c r="R3" i="1" s="1"/>
  <c r="P3" i="1"/>
  <c r="N3" i="1"/>
  <c r="M3" i="1"/>
  <c r="O3" i="1" s="1"/>
  <c r="B3" i="1"/>
  <c r="A3" i="1"/>
  <c r="Q2" i="1"/>
  <c r="R2" i="1" s="1"/>
  <c r="P2" i="1"/>
  <c r="N2" i="1"/>
  <c r="M2" i="1"/>
  <c r="O2" i="1" s="1"/>
  <c r="B2" i="1"/>
  <c r="A2" i="1"/>
  <c r="O250" i="1" l="1"/>
  <c r="O239" i="1"/>
  <c r="P263" i="1"/>
  <c r="O245" i="1"/>
  <c r="P259" i="1"/>
  <c r="O260" i="1"/>
  <c r="Q263" i="1"/>
  <c r="R263" i="1" s="1"/>
  <c r="O257" i="1"/>
  <c r="Q259" i="1"/>
  <c r="R259" i="1" s="1"/>
  <c r="P260" i="1"/>
  <c r="O254" i="1"/>
  <c r="P256" i="1"/>
  <c r="O236" i="1"/>
  <c r="O242" i="1"/>
  <c r="O248" i="1"/>
  <c r="O102" i="1"/>
  <c r="O159" i="1"/>
  <c r="S158" i="1" s="1"/>
  <c r="Q102" i="1"/>
  <c r="R102" i="1" s="1"/>
  <c r="Q252" i="1"/>
  <c r="R252" i="1" s="1"/>
  <c r="O7" i="1"/>
  <c r="P77" i="1"/>
  <c r="P111" i="1"/>
  <c r="Q250" i="1"/>
  <c r="R250" i="1" s="1"/>
  <c r="Q256" i="1"/>
  <c r="R256" i="1" s="1"/>
  <c r="P257" i="1"/>
  <c r="O77" i="1"/>
  <c r="O111" i="1"/>
  <c r="P139" i="1"/>
  <c r="P261" i="1"/>
  <c r="O264" i="1"/>
  <c r="O265" i="1"/>
  <c r="P264" i="1"/>
  <c r="Q265" i="1"/>
  <c r="R265" i="1" s="1"/>
  <c r="P252" i="1"/>
  <c r="O253" i="1"/>
  <c r="Q134" i="1"/>
  <c r="R134" i="1" s="1"/>
  <c r="P134" i="1"/>
  <c r="Q59" i="1"/>
  <c r="R59" i="1" s="1"/>
  <c r="P60" i="1"/>
  <c r="P140" i="1"/>
  <c r="P55" i="1"/>
  <c r="Q56" i="1"/>
  <c r="R56" i="1" s="1"/>
  <c r="Q26" i="1"/>
  <c r="R26" i="1" s="1"/>
  <c r="Q43" i="1"/>
  <c r="R43" i="1" s="1"/>
  <c r="Q21" i="1"/>
  <c r="R21" i="1" s="1"/>
  <c r="Q28" i="1"/>
  <c r="R28" i="1" s="1"/>
  <c r="O354" i="1"/>
  <c r="P12" i="1"/>
  <c r="P138" i="1"/>
  <c r="P142" i="1"/>
  <c r="O364" i="1"/>
  <c r="Q15" i="1"/>
  <c r="R15" i="1" s="1"/>
  <c r="O44" i="1"/>
  <c r="Q71" i="1"/>
  <c r="R71" i="1" s="1"/>
  <c r="P74" i="1"/>
  <c r="Q372" i="1"/>
  <c r="R372" i="1" s="1"/>
  <c r="Q351" i="1"/>
  <c r="R351" i="1" s="1"/>
  <c r="O50" i="1"/>
  <c r="Q305" i="1"/>
  <c r="R305" i="1" s="1"/>
  <c r="P306" i="1"/>
  <c r="P311" i="1"/>
  <c r="Q312" i="1"/>
  <c r="R312" i="1" s="1"/>
  <c r="Q23" i="1"/>
  <c r="R23" i="1" s="1"/>
  <c r="Q24" i="1"/>
  <c r="R24" i="1" s="1"/>
  <c r="Q110" i="1"/>
  <c r="R110" i="1" s="1"/>
  <c r="T374" i="1"/>
  <c r="Q78" i="1"/>
  <c r="R78" i="1" s="1"/>
  <c r="P80" i="1"/>
  <c r="P35" i="1"/>
  <c r="Q64" i="1"/>
  <c r="R64" i="1" s="1"/>
  <c r="Q153" i="1"/>
  <c r="R153" i="1" s="1"/>
  <c r="P156" i="1"/>
  <c r="Q298" i="1"/>
  <c r="R298" i="1" s="1"/>
  <c r="Q301" i="1"/>
  <c r="R301" i="1" s="1"/>
  <c r="O313" i="1"/>
  <c r="Q315" i="1"/>
  <c r="R315" i="1" s="1"/>
  <c r="P316" i="1"/>
  <c r="P321" i="1"/>
  <c r="Q343" i="1"/>
  <c r="R343" i="1" s="1"/>
  <c r="O11" i="1"/>
  <c r="S31" i="1" s="1"/>
  <c r="P50" i="1"/>
  <c r="Q44" i="1"/>
  <c r="R44" i="1" s="1"/>
  <c r="T338" i="1"/>
  <c r="P6" i="1"/>
  <c r="P13" i="1"/>
  <c r="P112" i="1"/>
  <c r="P329" i="1"/>
  <c r="P330" i="1"/>
  <c r="S339" i="1"/>
  <c r="O321" i="1"/>
  <c r="S384" i="1"/>
  <c r="P30" i="1"/>
  <c r="Q30" i="1"/>
  <c r="R30" i="1" s="1"/>
  <c r="P105" i="1"/>
  <c r="Q105" i="1"/>
  <c r="R105" i="1" s="1"/>
  <c r="Q108" i="1"/>
  <c r="R108" i="1" s="1"/>
  <c r="P108" i="1"/>
  <c r="Q162" i="1"/>
  <c r="R162" i="1" s="1"/>
  <c r="P162" i="1"/>
  <c r="S198" i="1"/>
  <c r="P113" i="1"/>
  <c r="Q113" i="1"/>
  <c r="R113" i="1" s="1"/>
  <c r="Q161" i="1"/>
  <c r="R161" i="1" s="1"/>
  <c r="P161" i="1"/>
  <c r="T207" i="1"/>
  <c r="T202" i="1"/>
  <c r="T198" i="1"/>
  <c r="P18" i="1"/>
  <c r="P54" i="1"/>
  <c r="Q160" i="1"/>
  <c r="R160" i="1" s="1"/>
  <c r="P160" i="1"/>
  <c r="P29" i="1"/>
  <c r="Q65" i="1"/>
  <c r="R65" i="1" s="1"/>
  <c r="P65" i="1"/>
  <c r="Q77" i="1"/>
  <c r="R77" i="1" s="1"/>
  <c r="T203" i="1"/>
  <c r="Q157" i="1"/>
  <c r="R157" i="1" s="1"/>
  <c r="P157" i="1"/>
  <c r="P34" i="1"/>
  <c r="Q34" i="1"/>
  <c r="R34" i="1" s="1"/>
  <c r="Q19" i="1"/>
  <c r="R19" i="1" s="1"/>
  <c r="P19" i="1"/>
  <c r="P33" i="1"/>
  <c r="Q33" i="1"/>
  <c r="R33" i="1" s="1"/>
  <c r="Q61" i="1"/>
  <c r="R61" i="1" s="1"/>
  <c r="P61" i="1"/>
  <c r="Q137" i="1"/>
  <c r="R137" i="1" s="1"/>
  <c r="P137" i="1"/>
  <c r="T199" i="1"/>
  <c r="S377" i="1"/>
  <c r="T219" i="1"/>
  <c r="Q304" i="1"/>
  <c r="R304" i="1" s="1"/>
  <c r="S331" i="1"/>
  <c r="P364" i="1"/>
  <c r="Q373" i="1"/>
  <c r="R373" i="1" s="1"/>
  <c r="T384" i="1"/>
  <c r="P79" i="1"/>
  <c r="O110" i="1"/>
  <c r="S218" i="1"/>
  <c r="S231" i="1"/>
  <c r="T296" i="1"/>
  <c r="Q313" i="1"/>
  <c r="R313" i="1" s="1"/>
  <c r="P346" i="1"/>
  <c r="P362" i="1"/>
  <c r="P363" i="1"/>
  <c r="S381" i="1"/>
  <c r="S176" i="1"/>
  <c r="S293" i="1"/>
  <c r="P307" i="1"/>
  <c r="O316" i="1"/>
  <c r="P322" i="1"/>
  <c r="Q326" i="1"/>
  <c r="R326" i="1" s="1"/>
  <c r="Q327" i="1"/>
  <c r="R327" i="1" s="1"/>
  <c r="Q328" i="1"/>
  <c r="R328" i="1" s="1"/>
  <c r="T332" i="1"/>
  <c r="Q364" i="1"/>
  <c r="R364" i="1" s="1"/>
  <c r="Q365" i="1"/>
  <c r="R365" i="1" s="1"/>
  <c r="P366" i="1"/>
  <c r="P367" i="1"/>
  <c r="O54" i="1"/>
  <c r="P51" i="1"/>
  <c r="P66" i="1"/>
  <c r="S202" i="1"/>
  <c r="O311" i="1"/>
  <c r="Q357" i="1"/>
  <c r="R357" i="1" s="1"/>
  <c r="Q371" i="1"/>
  <c r="R371" i="1" s="1"/>
  <c r="Q5" i="1"/>
  <c r="R5" i="1" s="1"/>
  <c r="Q14" i="1"/>
  <c r="R14" i="1" s="1"/>
  <c r="Q20" i="1"/>
  <c r="R20" i="1" s="1"/>
  <c r="Q32" i="1"/>
  <c r="R32" i="1" s="1"/>
  <c r="Q42" i="1"/>
  <c r="R42" i="1" s="1"/>
  <c r="Q58" i="1"/>
  <c r="R58" i="1" s="1"/>
  <c r="Q63" i="1"/>
  <c r="R63" i="1" s="1"/>
  <c r="P110" i="1"/>
  <c r="Q136" i="1"/>
  <c r="R136" i="1" s="1"/>
  <c r="P136" i="1"/>
  <c r="Q159" i="1"/>
  <c r="R159" i="1" s="1"/>
  <c r="P159" i="1"/>
  <c r="S185" i="1"/>
  <c r="S189" i="1"/>
  <c r="T232" i="1"/>
  <c r="T224" i="1"/>
  <c r="T228" i="1"/>
  <c r="Q109" i="1"/>
  <c r="R109" i="1" s="1"/>
  <c r="P109" i="1"/>
  <c r="P25" i="1"/>
  <c r="Q88" i="1"/>
  <c r="R88" i="1" s="1"/>
  <c r="P88" i="1"/>
  <c r="P7" i="1"/>
  <c r="P22" i="1"/>
  <c r="P31" i="1"/>
  <c r="P36" i="1"/>
  <c r="Q50" i="1"/>
  <c r="R50" i="1" s="1"/>
  <c r="P52" i="1"/>
  <c r="P57" i="1"/>
  <c r="P70" i="1"/>
  <c r="P75" i="1"/>
  <c r="P104" i="1"/>
  <c r="Q111" i="1"/>
  <c r="R111" i="1" s="1"/>
  <c r="Q139" i="1"/>
  <c r="R139" i="1" s="1"/>
  <c r="O139" i="1"/>
  <c r="S144" i="1" s="1"/>
  <c r="Q141" i="1"/>
  <c r="R141" i="1" s="1"/>
  <c r="P141" i="1"/>
  <c r="P11" i="1"/>
  <c r="P37" i="1"/>
  <c r="P62" i="1"/>
  <c r="P76" i="1"/>
  <c r="Q114" i="1"/>
  <c r="R114" i="1" s="1"/>
  <c r="P114" i="1"/>
  <c r="S184" i="1"/>
  <c r="S160" i="1"/>
  <c r="S166" i="1"/>
  <c r="S168" i="1"/>
  <c r="P27" i="1"/>
  <c r="P49" i="1"/>
  <c r="O88" i="1"/>
  <c r="S192" i="1"/>
  <c r="S193" i="1"/>
  <c r="T192" i="1"/>
  <c r="T188" i="1"/>
  <c r="T184" i="1"/>
  <c r="T191" i="1"/>
  <c r="T187" i="1"/>
  <c r="T193" i="1"/>
  <c r="T194" i="1"/>
  <c r="T215" i="1"/>
  <c r="P158" i="1"/>
  <c r="S179" i="1"/>
  <c r="S175" i="1"/>
  <c r="S182" i="1"/>
  <c r="S178" i="1"/>
  <c r="S174" i="1"/>
  <c r="S181" i="1"/>
  <c r="S177" i="1"/>
  <c r="T189" i="1"/>
  <c r="T190" i="1"/>
  <c r="T218" i="1"/>
  <c r="T214" i="1"/>
  <c r="T210" i="1"/>
  <c r="T217" i="1"/>
  <c r="T213" i="1"/>
  <c r="T209" i="1"/>
  <c r="T220" i="1"/>
  <c r="T216" i="1"/>
  <c r="T231" i="1"/>
  <c r="T227" i="1"/>
  <c r="T223" i="1"/>
  <c r="T230" i="1"/>
  <c r="T226" i="1"/>
  <c r="T222" i="1"/>
  <c r="T233" i="1"/>
  <c r="T229" i="1"/>
  <c r="T225" i="1"/>
  <c r="Q370" i="1"/>
  <c r="R370" i="1" s="1"/>
  <c r="P370" i="1"/>
  <c r="T179" i="1"/>
  <c r="T175" i="1"/>
  <c r="T182" i="1"/>
  <c r="T178" i="1"/>
  <c r="T174" i="1"/>
  <c r="S180" i="1"/>
  <c r="T185" i="1"/>
  <c r="T186" i="1"/>
  <c r="T211" i="1"/>
  <c r="T212" i="1"/>
  <c r="Q251" i="1"/>
  <c r="R251" i="1" s="1"/>
  <c r="P251" i="1"/>
  <c r="O251" i="1"/>
  <c r="S289" i="1"/>
  <c r="T180" i="1"/>
  <c r="T181" i="1"/>
  <c r="T176" i="1"/>
  <c r="T177" i="1"/>
  <c r="S205" i="1"/>
  <c r="S201" i="1"/>
  <c r="S197" i="1"/>
  <c r="S204" i="1"/>
  <c r="S200" i="1"/>
  <c r="S196" i="1"/>
  <c r="S207" i="1"/>
  <c r="S203" i="1"/>
  <c r="S199" i="1"/>
  <c r="S206" i="1"/>
  <c r="T206" i="1"/>
  <c r="T205" i="1"/>
  <c r="T201" i="1"/>
  <c r="T197" i="1"/>
  <c r="T204" i="1"/>
  <c r="T200" i="1"/>
  <c r="T196" i="1"/>
  <c r="S211" i="1"/>
  <c r="S215" i="1"/>
  <c r="S219" i="1"/>
  <c r="S224" i="1"/>
  <c r="S228" i="1"/>
  <c r="S232" i="1"/>
  <c r="Q237" i="1"/>
  <c r="R237" i="1" s="1"/>
  <c r="Q240" i="1"/>
  <c r="R240" i="1" s="1"/>
  <c r="Q243" i="1"/>
  <c r="R243" i="1" s="1"/>
  <c r="Q246" i="1"/>
  <c r="R246" i="1" s="1"/>
  <c r="Q249" i="1"/>
  <c r="R249" i="1" s="1"/>
  <c r="Q255" i="1"/>
  <c r="R255" i="1" s="1"/>
  <c r="S186" i="1"/>
  <c r="S190" i="1"/>
  <c r="S194" i="1"/>
  <c r="S212" i="1"/>
  <c r="S216" i="1"/>
  <c r="S220" i="1"/>
  <c r="S225" i="1"/>
  <c r="S229" i="1"/>
  <c r="S233" i="1"/>
  <c r="Q253" i="1"/>
  <c r="R253" i="1" s="1"/>
  <c r="S338" i="1"/>
  <c r="Q342" i="1"/>
  <c r="R342" i="1" s="1"/>
  <c r="P342" i="1"/>
  <c r="S296" i="1"/>
  <c r="S274" i="1"/>
  <c r="S270" i="1"/>
  <c r="S285" i="1"/>
  <c r="S334" i="1"/>
  <c r="S336" i="1"/>
  <c r="S332" i="1"/>
  <c r="S187" i="1"/>
  <c r="S191" i="1"/>
  <c r="S209" i="1"/>
  <c r="S213" i="1"/>
  <c r="S217" i="1"/>
  <c r="S222" i="1"/>
  <c r="S226" i="1"/>
  <c r="S230" i="1"/>
  <c r="P236" i="1"/>
  <c r="P239" i="1"/>
  <c r="P242" i="1"/>
  <c r="P245" i="1"/>
  <c r="P248" i="1"/>
  <c r="P254" i="1"/>
  <c r="S276" i="1"/>
  <c r="S281" i="1"/>
  <c r="Q303" i="1"/>
  <c r="R303" i="1" s="1"/>
  <c r="P303" i="1"/>
  <c r="S335" i="1"/>
  <c r="Q350" i="1"/>
  <c r="R350" i="1" s="1"/>
  <c r="P350" i="1"/>
  <c r="Q356" i="1"/>
  <c r="R356" i="1" s="1"/>
  <c r="P356" i="1"/>
  <c r="Q267" i="1"/>
  <c r="R267" i="1" s="1"/>
  <c r="P267" i="1"/>
  <c r="O267" i="1"/>
  <c r="S277" i="1"/>
  <c r="Q314" i="1"/>
  <c r="R314" i="1" s="1"/>
  <c r="P314" i="1"/>
  <c r="S188" i="1"/>
  <c r="S210" i="1"/>
  <c r="S214" i="1"/>
  <c r="S223" i="1"/>
  <c r="S227" i="1"/>
  <c r="O237" i="1"/>
  <c r="O240" i="1"/>
  <c r="O243" i="1"/>
  <c r="O246" i="1"/>
  <c r="O249" i="1"/>
  <c r="O255" i="1"/>
  <c r="S273" i="1"/>
  <c r="O261" i="1"/>
  <c r="S269" i="1"/>
  <c r="Q320" i="1"/>
  <c r="R320" i="1" s="1"/>
  <c r="P320" i="1"/>
  <c r="Q325" i="1"/>
  <c r="R325" i="1" s="1"/>
  <c r="P325" i="1"/>
  <c r="T269" i="1"/>
  <c r="T273" i="1"/>
  <c r="T277" i="1"/>
  <c r="T281" i="1"/>
  <c r="T285" i="1"/>
  <c r="T289" i="1"/>
  <c r="T293" i="1"/>
  <c r="P299" i="1"/>
  <c r="P302" i="1"/>
  <c r="P313" i="1"/>
  <c r="P319" i="1"/>
  <c r="Q321" i="1"/>
  <c r="R321" i="1" s="1"/>
  <c r="P324" i="1"/>
  <c r="T331" i="1"/>
  <c r="T335" i="1"/>
  <c r="T339" i="1"/>
  <c r="P349" i="1"/>
  <c r="P355" i="1"/>
  <c r="P369" i="1"/>
  <c r="T377" i="1"/>
  <c r="T381" i="1"/>
  <c r="S278" i="1"/>
  <c r="S282" i="1"/>
  <c r="S286" i="1"/>
  <c r="S290" i="1"/>
  <c r="S294" i="1"/>
  <c r="S340" i="1"/>
  <c r="P344" i="1"/>
  <c r="P358" i="1"/>
  <c r="S374" i="1"/>
  <c r="S378" i="1"/>
  <c r="S382" i="1"/>
  <c r="T270" i="1"/>
  <c r="T274" i="1"/>
  <c r="T278" i="1"/>
  <c r="T282" i="1"/>
  <c r="T286" i="1"/>
  <c r="T290" i="1"/>
  <c r="T294" i="1"/>
  <c r="P308" i="1"/>
  <c r="T336" i="1"/>
  <c r="T340" i="1"/>
  <c r="P347" i="1"/>
  <c r="T378" i="1"/>
  <c r="T382" i="1"/>
  <c r="S271" i="1"/>
  <c r="S275" i="1"/>
  <c r="S279" i="1"/>
  <c r="S283" i="1"/>
  <c r="S287" i="1"/>
  <c r="S291" i="1"/>
  <c r="S295" i="1"/>
  <c r="S333" i="1"/>
  <c r="S337" i="1"/>
  <c r="S341" i="1"/>
  <c r="S375" i="1"/>
  <c r="S379" i="1"/>
  <c r="S383" i="1"/>
  <c r="T271" i="1"/>
  <c r="T275" i="1"/>
  <c r="T279" i="1"/>
  <c r="T283" i="1"/>
  <c r="T287" i="1"/>
  <c r="T291" i="1"/>
  <c r="T295" i="1"/>
  <c r="T333" i="1"/>
  <c r="T337" i="1"/>
  <c r="T341" i="1"/>
  <c r="P345" i="1"/>
  <c r="T375" i="1"/>
  <c r="T379" i="1"/>
  <c r="T383" i="1"/>
  <c r="S272" i="1"/>
  <c r="S280" i="1"/>
  <c r="S284" i="1"/>
  <c r="S288" i="1"/>
  <c r="S292" i="1"/>
  <c r="P323" i="1"/>
  <c r="P348" i="1"/>
  <c r="P354" i="1"/>
  <c r="P368" i="1"/>
  <c r="S376" i="1"/>
  <c r="S380" i="1"/>
  <c r="T272" i="1"/>
  <c r="T276" i="1"/>
  <c r="T280" i="1"/>
  <c r="T284" i="1"/>
  <c r="T288" i="1"/>
  <c r="T292" i="1"/>
  <c r="T334" i="1"/>
  <c r="T376" i="1"/>
  <c r="T380" i="1"/>
  <c r="S164" i="1" l="1"/>
  <c r="S162" i="1"/>
  <c r="S155" i="1"/>
  <c r="S172" i="1"/>
  <c r="S170" i="1"/>
  <c r="S163" i="1"/>
  <c r="S154" i="1"/>
  <c r="S153" i="1"/>
  <c r="S167" i="1"/>
  <c r="S156" i="1"/>
  <c r="S159" i="1"/>
  <c r="S165" i="1"/>
  <c r="S171" i="1"/>
  <c r="S157" i="1"/>
  <c r="S161" i="1"/>
  <c r="S169" i="1"/>
  <c r="S71" i="1"/>
  <c r="S39" i="1"/>
  <c r="S121" i="1"/>
  <c r="T40" i="1"/>
  <c r="S40" i="1"/>
  <c r="S118" i="1"/>
  <c r="S127" i="1"/>
  <c r="S106" i="1"/>
  <c r="S125" i="1"/>
  <c r="S357" i="1"/>
  <c r="S128" i="1"/>
  <c r="S343" i="1"/>
  <c r="S368" i="1"/>
  <c r="S361" i="1"/>
  <c r="S348" i="1"/>
  <c r="S353" i="1"/>
  <c r="T388" i="1"/>
  <c r="S308" i="1"/>
  <c r="S350" i="1"/>
  <c r="S362" i="1"/>
  <c r="S344" i="1"/>
  <c r="S366" i="1"/>
  <c r="S370" i="1"/>
  <c r="S342" i="1"/>
  <c r="S369" i="1"/>
  <c r="S345" i="1"/>
  <c r="T137" i="1"/>
  <c r="S46" i="1"/>
  <c r="S359" i="1"/>
  <c r="S347" i="1"/>
  <c r="S364" i="1"/>
  <c r="S355" i="1"/>
  <c r="S346" i="1"/>
  <c r="S360" i="1"/>
  <c r="S373" i="1"/>
  <c r="S59" i="1"/>
  <c r="S372" i="1"/>
  <c r="S351" i="1"/>
  <c r="S356" i="1"/>
  <c r="S367" i="1"/>
  <c r="S358" i="1"/>
  <c r="S352" i="1"/>
  <c r="S365" i="1"/>
  <c r="S15" i="1"/>
  <c r="S363" i="1"/>
  <c r="S349" i="1"/>
  <c r="S371" i="1"/>
  <c r="S354" i="1"/>
  <c r="S9" i="1"/>
  <c r="T147" i="1"/>
  <c r="T163" i="1"/>
  <c r="S57" i="1"/>
  <c r="S55" i="1"/>
  <c r="S66" i="1"/>
  <c r="S45" i="1"/>
  <c r="S32" i="1"/>
  <c r="S63" i="1"/>
  <c r="S68" i="1"/>
  <c r="S36" i="1"/>
  <c r="S61" i="1"/>
  <c r="S7" i="1"/>
  <c r="S53" i="1"/>
  <c r="S20" i="1"/>
  <c r="S52" i="1"/>
  <c r="S47" i="1"/>
  <c r="S60" i="1"/>
  <c r="S50" i="1"/>
  <c r="S62" i="1"/>
  <c r="S49" i="1"/>
  <c r="S248" i="1"/>
  <c r="S44" i="1"/>
  <c r="T144" i="1"/>
  <c r="S48" i="1"/>
  <c r="S58" i="1"/>
  <c r="S56" i="1"/>
  <c r="T135" i="1"/>
  <c r="S64" i="1"/>
  <c r="S42" i="1"/>
  <c r="S41" i="1"/>
  <c r="S43" i="1"/>
  <c r="S51" i="1"/>
  <c r="S65" i="1"/>
  <c r="S54" i="1"/>
  <c r="S67" i="1"/>
  <c r="S302" i="1"/>
  <c r="S264" i="1"/>
  <c r="S22" i="1"/>
  <c r="S27" i="1"/>
  <c r="S12" i="1"/>
  <c r="S21" i="1"/>
  <c r="S4" i="1"/>
  <c r="S25" i="1"/>
  <c r="S112" i="1"/>
  <c r="S108" i="1"/>
  <c r="S105" i="1"/>
  <c r="S26" i="1"/>
  <c r="S2" i="1"/>
  <c r="S18" i="1"/>
  <c r="S24" i="1"/>
  <c r="S13" i="1"/>
  <c r="S33" i="1"/>
  <c r="T161" i="1"/>
  <c r="T42" i="1"/>
  <c r="S110" i="1"/>
  <c r="T151" i="1"/>
  <c r="T134" i="1"/>
  <c r="S104" i="1"/>
  <c r="S131" i="1"/>
  <c r="S132" i="1"/>
  <c r="S129" i="1"/>
  <c r="S321" i="1"/>
  <c r="S301" i="1"/>
  <c r="T146" i="1"/>
  <c r="S130" i="1"/>
  <c r="S149" i="1"/>
  <c r="S115" i="1"/>
  <c r="S116" i="1"/>
  <c r="S113" i="1"/>
  <c r="S151" i="1"/>
  <c r="S111" i="1"/>
  <c r="S5" i="1"/>
  <c r="S23" i="1"/>
  <c r="S34" i="1"/>
  <c r="S35" i="1"/>
  <c r="S16" i="1"/>
  <c r="S29" i="1"/>
  <c r="S323" i="1"/>
  <c r="S126" i="1"/>
  <c r="S122" i="1"/>
  <c r="T13" i="1"/>
  <c r="S114" i="1"/>
  <c r="S119" i="1"/>
  <c r="S120" i="1"/>
  <c r="S117" i="1"/>
  <c r="S107" i="1"/>
  <c r="S8" i="1"/>
  <c r="S28" i="1"/>
  <c r="S3" i="1"/>
  <c r="S10" i="1"/>
  <c r="S19" i="1"/>
  <c r="S37" i="1"/>
  <c r="S306" i="1"/>
  <c r="T145" i="1"/>
  <c r="S327" i="1"/>
  <c r="T149" i="1"/>
  <c r="S109" i="1"/>
  <c r="T6" i="1"/>
  <c r="S123" i="1"/>
  <c r="S124" i="1"/>
  <c r="T155" i="1"/>
  <c r="S17" i="1"/>
  <c r="S14" i="1"/>
  <c r="S11" i="1"/>
  <c r="S6" i="1"/>
  <c r="S30" i="1"/>
  <c r="S317" i="1"/>
  <c r="S303" i="1"/>
  <c r="S322" i="1"/>
  <c r="S313" i="1"/>
  <c r="S329" i="1"/>
  <c r="T329" i="1"/>
  <c r="T170" i="1"/>
  <c r="T61" i="1"/>
  <c r="T10" i="1"/>
  <c r="T138" i="1"/>
  <c r="S73" i="1"/>
  <c r="T15" i="1"/>
  <c r="S90" i="1"/>
  <c r="S147" i="1"/>
  <c r="T56" i="1"/>
  <c r="S97" i="1"/>
  <c r="S300" i="1"/>
  <c r="S316" i="1"/>
  <c r="S299" i="1"/>
  <c r="S326" i="1"/>
  <c r="S84" i="1"/>
  <c r="T62" i="1"/>
  <c r="S82" i="1"/>
  <c r="T159" i="1"/>
  <c r="T142" i="1"/>
  <c r="S98" i="1"/>
  <c r="S143" i="1"/>
  <c r="S307" i="1"/>
  <c r="S315" i="1"/>
  <c r="S298" i="1"/>
  <c r="S325" i="1"/>
  <c r="S75" i="1"/>
  <c r="T47" i="1"/>
  <c r="T139" i="1"/>
  <c r="S91" i="1"/>
  <c r="S145" i="1"/>
  <c r="S311" i="1"/>
  <c r="S305" i="1"/>
  <c r="S324" i="1"/>
  <c r="S310" i="1"/>
  <c r="S318" i="1"/>
  <c r="T260" i="1"/>
  <c r="S312" i="1"/>
  <c r="S328" i="1"/>
  <c r="T169" i="1"/>
  <c r="T68" i="1"/>
  <c r="S74" i="1"/>
  <c r="T12" i="1"/>
  <c r="T140" i="1"/>
  <c r="T67" i="1"/>
  <c r="S320" i="1"/>
  <c r="S330" i="1"/>
  <c r="S314" i="1"/>
  <c r="T308" i="1"/>
  <c r="S319" i="1"/>
  <c r="S304" i="1"/>
  <c r="T66" i="1"/>
  <c r="T143" i="1"/>
  <c r="S72" i="1"/>
  <c r="S309" i="1"/>
  <c r="S255" i="1"/>
  <c r="S263" i="1"/>
  <c r="S241" i="1"/>
  <c r="T325" i="1"/>
  <c r="T320" i="1"/>
  <c r="T303" i="1"/>
  <c r="T314" i="1"/>
  <c r="S254" i="1"/>
  <c r="S257" i="1"/>
  <c r="S253" i="1"/>
  <c r="S238" i="1"/>
  <c r="T306" i="1"/>
  <c r="T304" i="1"/>
  <c r="T302" i="1"/>
  <c r="T300" i="1"/>
  <c r="S243" i="1"/>
  <c r="S261" i="1"/>
  <c r="T156" i="1"/>
  <c r="T160" i="1"/>
  <c r="T172" i="1"/>
  <c r="T153" i="1"/>
  <c r="T254" i="1"/>
  <c r="T252" i="1"/>
  <c r="T253" i="1"/>
  <c r="T263" i="1"/>
  <c r="T25" i="1"/>
  <c r="T65" i="1"/>
  <c r="T39" i="1"/>
  <c r="T54" i="1"/>
  <c r="T2" i="1"/>
  <c r="S92" i="1"/>
  <c r="S94" i="1"/>
  <c r="S99" i="1"/>
  <c r="T14" i="1"/>
  <c r="S150" i="1"/>
  <c r="S140" i="1"/>
  <c r="S148" i="1"/>
  <c r="T48" i="1"/>
  <c r="T11" i="1"/>
  <c r="S85" i="1"/>
  <c r="T36" i="1"/>
  <c r="T37" i="1"/>
  <c r="S88" i="1"/>
  <c r="T113" i="1"/>
  <c r="T105" i="1"/>
  <c r="T132" i="1"/>
  <c r="T128" i="1"/>
  <c r="T124" i="1"/>
  <c r="T120" i="1"/>
  <c r="T116" i="1"/>
  <c r="T108" i="1"/>
  <c r="T110" i="1"/>
  <c r="T131" i="1"/>
  <c r="T127" i="1"/>
  <c r="T107" i="1"/>
  <c r="T130" i="1"/>
  <c r="T126" i="1"/>
  <c r="T123" i="1"/>
  <c r="T122" i="1"/>
  <c r="T129" i="1"/>
  <c r="T125" i="1"/>
  <c r="T119" i="1"/>
  <c r="T118" i="1"/>
  <c r="T121" i="1"/>
  <c r="T115" i="1"/>
  <c r="T114" i="1"/>
  <c r="T112" i="1"/>
  <c r="T117" i="1"/>
  <c r="T111" i="1"/>
  <c r="T109" i="1"/>
  <c r="T106" i="1"/>
  <c r="T104" i="1"/>
  <c r="T4" i="1"/>
  <c r="T7" i="1"/>
  <c r="S245" i="1"/>
  <c r="S247" i="1"/>
  <c r="S235" i="1"/>
  <c r="T312" i="1"/>
  <c r="T315" i="1"/>
  <c r="T319" i="1"/>
  <c r="T322" i="1"/>
  <c r="S237" i="1"/>
  <c r="S267" i="1"/>
  <c r="T154" i="1"/>
  <c r="T167" i="1"/>
  <c r="T168" i="1"/>
  <c r="T261" i="1"/>
  <c r="T264" i="1"/>
  <c r="T258" i="1"/>
  <c r="T267" i="1"/>
  <c r="S81" i="1"/>
  <c r="T3" i="1"/>
  <c r="S100" i="1"/>
  <c r="S96" i="1"/>
  <c r="S70" i="1"/>
  <c r="S83" i="1"/>
  <c r="T5" i="1"/>
  <c r="S139" i="1"/>
  <c r="S138" i="1"/>
  <c r="T63" i="1"/>
  <c r="T64" i="1"/>
  <c r="T31" i="1"/>
  <c r="T30" i="1"/>
  <c r="T22" i="1"/>
  <c r="T313" i="1"/>
  <c r="S240" i="1"/>
  <c r="T256" i="1"/>
  <c r="T266" i="1"/>
  <c r="S242" i="1"/>
  <c r="S262" i="1"/>
  <c r="T328" i="1"/>
  <c r="T326" i="1"/>
  <c r="T324" i="1"/>
  <c r="T330" i="1"/>
  <c r="T157" i="1"/>
  <c r="T171" i="1"/>
  <c r="T165" i="1"/>
  <c r="T158" i="1"/>
  <c r="T236" i="1"/>
  <c r="T237" i="1"/>
  <c r="T235" i="1"/>
  <c r="T259" i="1"/>
  <c r="T51" i="1"/>
  <c r="S80" i="1"/>
  <c r="T55" i="1"/>
  <c r="T29" i="1"/>
  <c r="S76" i="1"/>
  <c r="S87" i="1"/>
  <c r="T59" i="1"/>
  <c r="S134" i="1"/>
  <c r="S146" i="1"/>
  <c r="T58" i="1"/>
  <c r="T46" i="1"/>
  <c r="T150" i="1"/>
  <c r="T136" i="1"/>
  <c r="T148" i="1"/>
  <c r="T141" i="1"/>
  <c r="T26" i="1"/>
  <c r="T310" i="1"/>
  <c r="T255" i="1"/>
  <c r="T250" i="1"/>
  <c r="T8" i="1"/>
  <c r="S239" i="1"/>
  <c r="S250" i="1"/>
  <c r="S244" i="1"/>
  <c r="S256" i="1"/>
  <c r="T298" i="1"/>
  <c r="T307" i="1"/>
  <c r="T305" i="1"/>
  <c r="S260" i="1"/>
  <c r="T162" i="1"/>
  <c r="T164" i="1"/>
  <c r="T239" i="1"/>
  <c r="T240" i="1"/>
  <c r="T238" i="1"/>
  <c r="T262" i="1"/>
  <c r="S79" i="1"/>
  <c r="S89" i="1"/>
  <c r="S102" i="1"/>
  <c r="S137" i="1"/>
  <c r="S136" i="1"/>
  <c r="T53" i="1"/>
  <c r="T60" i="1"/>
  <c r="T52" i="1"/>
  <c r="T19" i="1"/>
  <c r="T34" i="1"/>
  <c r="T57" i="1"/>
  <c r="T309" i="1"/>
  <c r="T251" i="1"/>
  <c r="T317" i="1"/>
  <c r="S236" i="1"/>
  <c r="T367" i="1"/>
  <c r="T362" i="1"/>
  <c r="T353" i="1"/>
  <c r="T347" i="1"/>
  <c r="T372" i="1"/>
  <c r="T364" i="1"/>
  <c r="T358" i="1"/>
  <c r="T344" i="1"/>
  <c r="T369" i="1"/>
  <c r="T355" i="1"/>
  <c r="T352" i="1"/>
  <c r="T349" i="1"/>
  <c r="T366" i="1"/>
  <c r="T361" i="1"/>
  <c r="T346" i="1"/>
  <c r="T371" i="1"/>
  <c r="T357" i="1"/>
  <c r="T351" i="1"/>
  <c r="T343" i="1"/>
  <c r="T368" i="1"/>
  <c r="T363" i="1"/>
  <c r="T360" i="1"/>
  <c r="T354" i="1"/>
  <c r="T348" i="1"/>
  <c r="T373" i="1"/>
  <c r="T365" i="1"/>
  <c r="T345" i="1"/>
  <c r="T359" i="1"/>
  <c r="T342" i="1"/>
  <c r="T370" i="1"/>
  <c r="T356" i="1"/>
  <c r="T350" i="1"/>
  <c r="T301" i="1"/>
  <c r="T321" i="1"/>
  <c r="T311" i="1"/>
  <c r="S259" i="1"/>
  <c r="S265" i="1"/>
  <c r="T166" i="1"/>
  <c r="T242" i="1"/>
  <c r="T243" i="1"/>
  <c r="T241" i="1"/>
  <c r="T265" i="1"/>
  <c r="T24" i="1"/>
  <c r="T50" i="1"/>
  <c r="T18" i="1"/>
  <c r="S78" i="1"/>
  <c r="T28" i="1"/>
  <c r="S93" i="1"/>
  <c r="S77" i="1"/>
  <c r="T43" i="1"/>
  <c r="S142" i="1"/>
  <c r="S141" i="1"/>
  <c r="T49" i="1"/>
  <c r="T32" i="1"/>
  <c r="T16" i="1"/>
  <c r="T318" i="1"/>
  <c r="T316" i="1"/>
  <c r="T245" i="1"/>
  <c r="T246" i="1"/>
  <c r="T244" i="1"/>
  <c r="T257" i="1"/>
  <c r="T21" i="1"/>
  <c r="T33" i="1"/>
  <c r="T27" i="1"/>
  <c r="T35" i="1"/>
  <c r="S249" i="1"/>
  <c r="S266" i="1"/>
  <c r="S258" i="1"/>
  <c r="T323" i="1"/>
  <c r="T299" i="1"/>
  <c r="T327" i="1"/>
  <c r="S246" i="1"/>
  <c r="S251" i="1"/>
  <c r="S252" i="1"/>
  <c r="T248" i="1"/>
  <c r="T249" i="1"/>
  <c r="T247" i="1"/>
  <c r="T102" i="1"/>
  <c r="T87" i="1"/>
  <c r="T83" i="1"/>
  <c r="T71" i="1"/>
  <c r="T98" i="1"/>
  <c r="T94" i="1"/>
  <c r="T90" i="1"/>
  <c r="T79" i="1"/>
  <c r="T85" i="1"/>
  <c r="T81" i="1"/>
  <c r="T78" i="1"/>
  <c r="T73" i="1"/>
  <c r="T82" i="1"/>
  <c r="T101" i="1"/>
  <c r="T100" i="1"/>
  <c r="T80" i="1"/>
  <c r="T74" i="1"/>
  <c r="T97" i="1"/>
  <c r="T96" i="1"/>
  <c r="T99" i="1"/>
  <c r="T93" i="1"/>
  <c r="T92" i="1"/>
  <c r="T95" i="1"/>
  <c r="T77" i="1"/>
  <c r="T72" i="1"/>
  <c r="T86" i="1"/>
  <c r="T91" i="1"/>
  <c r="T89" i="1"/>
  <c r="T88" i="1"/>
  <c r="T76" i="1"/>
  <c r="T84" i="1"/>
  <c r="T75" i="1"/>
  <c r="T70" i="1"/>
  <c r="T45" i="1"/>
  <c r="T9" i="1"/>
  <c r="T23" i="1"/>
  <c r="S101" i="1"/>
  <c r="S95" i="1"/>
  <c r="T20" i="1"/>
  <c r="S135" i="1"/>
  <c r="T44" i="1"/>
  <c r="T17" i="1"/>
  <c r="S86" i="1"/>
  <c r="T41" i="1"/>
</calcChain>
</file>

<file path=xl/sharedStrings.xml><?xml version="1.0" encoding="utf-8"?>
<sst xmlns="http://schemas.openxmlformats.org/spreadsheetml/2006/main" count="2538" uniqueCount="133">
  <si>
    <t>Chave 1</t>
  </si>
  <si>
    <t>Chave 2</t>
  </si>
  <si>
    <t>Base</t>
  </si>
  <si>
    <t>Empresa</t>
  </si>
  <si>
    <t>Classificação</t>
  </si>
  <si>
    <t>Dívida</t>
  </si>
  <si>
    <t>Moeda</t>
  </si>
  <si>
    <t>Volume</t>
  </si>
  <si>
    <t>Vencimento</t>
  </si>
  <si>
    <t>Indexador</t>
  </si>
  <si>
    <t>Spread</t>
  </si>
  <si>
    <t>Taxa All in</t>
  </si>
  <si>
    <t>Prazo (anos)</t>
  </si>
  <si>
    <t>Ano</t>
  </si>
  <si>
    <t>Fator Prazo</t>
  </si>
  <si>
    <t>Fator Taxa</t>
  </si>
  <si>
    <t>Custo Ano</t>
  </si>
  <si>
    <t>Custo Tri</t>
  </si>
  <si>
    <t>Prazo Médio</t>
  </si>
  <si>
    <t>Custo</t>
  </si>
  <si>
    <t>Minerva</t>
  </si>
  <si>
    <t>Debênture</t>
  </si>
  <si>
    <t>Debênture 2020</t>
  </si>
  <si>
    <t>BRL</t>
  </si>
  <si>
    <t>CDI</t>
  </si>
  <si>
    <t>Debênture 2024</t>
  </si>
  <si>
    <t xml:space="preserve">Debênture </t>
  </si>
  <si>
    <t>IPCA</t>
  </si>
  <si>
    <t>Outros</t>
  </si>
  <si>
    <t>CCB</t>
  </si>
  <si>
    <t>Fixo</t>
  </si>
  <si>
    <t>NCE</t>
  </si>
  <si>
    <t>IFC</t>
  </si>
  <si>
    <t>ACC</t>
  </si>
  <si>
    <t>USD</t>
  </si>
  <si>
    <t>Bond</t>
  </si>
  <si>
    <t>PPE</t>
  </si>
  <si>
    <t>Libor</t>
  </si>
  <si>
    <t>CCE</t>
  </si>
  <si>
    <t>Secured Loan</t>
  </si>
  <si>
    <t>Derivativos</t>
  </si>
  <si>
    <t>Debênture 2022</t>
  </si>
  <si>
    <t>Fixa</t>
  </si>
  <si>
    <t>Arrendamento</t>
  </si>
  <si>
    <t>TJLP</t>
  </si>
  <si>
    <t>BRF</t>
  </si>
  <si>
    <t>KG</t>
  </si>
  <si>
    <t>Pré / CDI</t>
  </si>
  <si>
    <t>CRA</t>
  </si>
  <si>
    <t>CDI / IPCA</t>
  </si>
  <si>
    <t>Fomento</t>
  </si>
  <si>
    <t>Pré / Selic / IPCA</t>
  </si>
  <si>
    <t>Debentures</t>
  </si>
  <si>
    <t>Incentivos Fiscais</t>
  </si>
  <si>
    <t>Pré</t>
  </si>
  <si>
    <t>Pré / Libor</t>
  </si>
  <si>
    <t>TRY</t>
  </si>
  <si>
    <t>Derivativo</t>
  </si>
  <si>
    <t>PESA</t>
  </si>
  <si>
    <t>IGPM</t>
  </si>
  <si>
    <t>JBS</t>
  </si>
  <si>
    <t>NCI</t>
  </si>
  <si>
    <t>Finimp</t>
  </si>
  <si>
    <t>EUR</t>
  </si>
  <si>
    <t>Euribor</t>
  </si>
  <si>
    <t>Scott</t>
  </si>
  <si>
    <t>Finame</t>
  </si>
  <si>
    <t>FINEP</t>
  </si>
  <si>
    <t>Term Loan</t>
  </si>
  <si>
    <t>CDC</t>
  </si>
  <si>
    <t>Custeio</t>
  </si>
  <si>
    <t>CDI e IPCA</t>
  </si>
  <si>
    <t>Confinamento</t>
  </si>
  <si>
    <t>AUD</t>
  </si>
  <si>
    <t>Sec Bond</t>
  </si>
  <si>
    <t>Debênture 5</t>
  </si>
  <si>
    <t>Debênture 6</t>
  </si>
  <si>
    <t>Debênture 7</t>
  </si>
  <si>
    <t>Debênture 8 - 1</t>
  </si>
  <si>
    <t>CDI Swap</t>
  </si>
  <si>
    <t>Debênture 8 - 2</t>
  </si>
  <si>
    <t>Debênture 9</t>
  </si>
  <si>
    <t>Pré / CDI / USD</t>
  </si>
  <si>
    <t>43921Minerva</t>
  </si>
  <si>
    <t>44012Minerva</t>
  </si>
  <si>
    <t>44104Minerva</t>
  </si>
  <si>
    <t>43921Debênture 2020</t>
  </si>
  <si>
    <t>43921Debênture 2022</t>
  </si>
  <si>
    <t xml:space="preserve">43921Debênture </t>
  </si>
  <si>
    <t>43921CCB</t>
  </si>
  <si>
    <t>43921NCE</t>
  </si>
  <si>
    <t>43921IFC</t>
  </si>
  <si>
    <t>43921ACC</t>
  </si>
  <si>
    <t>43921Bond</t>
  </si>
  <si>
    <t>43921PPE</t>
  </si>
  <si>
    <t>43921CCE</t>
  </si>
  <si>
    <t>43921Secured Loan</t>
  </si>
  <si>
    <t>43921Outros</t>
  </si>
  <si>
    <t>43921Derivativos</t>
  </si>
  <si>
    <t>44012Debênture 5</t>
  </si>
  <si>
    <t>44012Debênture 6</t>
  </si>
  <si>
    <t>44012Debênture 7</t>
  </si>
  <si>
    <t>44012Debênture 8 - 1</t>
  </si>
  <si>
    <t>44012Debênture 8 - 2</t>
  </si>
  <si>
    <t>44012Debênture 9</t>
  </si>
  <si>
    <t>44012CCB</t>
  </si>
  <si>
    <t>44012NCE</t>
  </si>
  <si>
    <t>44012IFC</t>
  </si>
  <si>
    <t>44012ACC</t>
  </si>
  <si>
    <t>44012Bond</t>
  </si>
  <si>
    <t>44012PPE</t>
  </si>
  <si>
    <t>44012Secured Loan</t>
  </si>
  <si>
    <t>44012Outros</t>
  </si>
  <si>
    <t>44012Derivativos</t>
  </si>
  <si>
    <t>44104Debênture 5</t>
  </si>
  <si>
    <t>44104Debênture 6</t>
  </si>
  <si>
    <t>44104Debênture 7</t>
  </si>
  <si>
    <t>44104Debênture 8 - 1</t>
  </si>
  <si>
    <t>44104Debênture 8 - 2</t>
  </si>
  <si>
    <t>44104Debênture 9</t>
  </si>
  <si>
    <t>44104CCB</t>
  </si>
  <si>
    <t>44104NCE</t>
  </si>
  <si>
    <t>44104IFC</t>
  </si>
  <si>
    <t>44104ACC</t>
  </si>
  <si>
    <t>44104Bond</t>
  </si>
  <si>
    <t>44104PPE</t>
  </si>
  <si>
    <t>44104Secured Loan</t>
  </si>
  <si>
    <t>44104Outros</t>
  </si>
  <si>
    <t>44104Derivativos</t>
  </si>
  <si>
    <t>Debênture 8-1</t>
  </si>
  <si>
    <t>Debênture 8-2</t>
  </si>
  <si>
    <t>339.63</t>
  </si>
  <si>
    <t>73.22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</si>
</sst>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10" fontId="2" fillId="2" borderId="0" xfId="2" applyNumberFormat="1" applyFont="1" applyFill="1" applyAlignment="1">
      <alignment horizontal="center"/>
    </xf>
    <xf numFmtId="14" fontId="0" fillId="0" borderId="0" xfId="0" applyNumberFormat="1"/>
    <xf numFmtId="164" fontId="0" fillId="0" borderId="0" xfId="1" applyNumberFormat="1" applyFont="1" applyFill="1"/>
    <xf numFmtId="165" fontId="0" fillId="0" borderId="0" xfId="0" applyNumberFormat="1"/>
    <xf numFmtId="10" fontId="0" fillId="0" borderId="0" xfId="2" applyNumberFormat="1" applyFont="1" applyFill="1"/>
    <xf numFmtId="43" fontId="0" fillId="0" borderId="0" xfId="1" applyFont="1" applyFill="1"/>
    <xf numFmtId="164" fontId="0" fillId="0" borderId="0" xfId="0" applyNumberFormat="1"/>
    <xf numFmtId="10" fontId="0" fillId="0" borderId="0" xfId="0" applyNumberFormat="1"/>
    <xf numFmtId="43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10" fontId="0" fillId="0" borderId="0" xfId="2" applyNumberFormat="1" applyFont="1"/>
    <xf numFmtId="0" fontId="0" fillId="3" borderId="0" xfId="0" applyFill="1"/>
    <xf numFmtId="14" fontId="0" fillId="3" borderId="0" xfId="0" applyNumberFormat="1" applyFill="1"/>
    <xf numFmtId="164" fontId="0" fillId="3" borderId="0" xfId="1" applyNumberFormat="1" applyFont="1" applyFill="1"/>
    <xf numFmtId="10" fontId="0" fillId="3" borderId="0" xfId="2" applyNumberFormat="1" applyFont="1" applyFill="1"/>
    <xf numFmtId="43" fontId="0" fillId="3" borderId="0" xfId="1" applyFont="1" applyFill="1"/>
    <xf numFmtId="164" fontId="0" fillId="3" borderId="0" xfId="0" applyNumberFormat="1" applyFill="1"/>
    <xf numFmtId="1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164" fontId="0" fillId="4" borderId="0" xfId="1" applyNumberFormat="1" applyFont="1" applyFill="1"/>
    <xf numFmtId="10" fontId="0" fillId="4" borderId="0" xfId="0" applyNumberFormat="1" applyFill="1"/>
    <xf numFmtId="43" fontId="0" fillId="4" borderId="0" xfId="1" applyFont="1" applyFill="1"/>
    <xf numFmtId="164" fontId="0" fillId="4" borderId="0" xfId="0" applyNumberFormat="1" applyFill="1"/>
    <xf numFmtId="10" fontId="0" fillId="4" borderId="0" xfId="2" applyNumberFormat="1" applyFont="1" applyFill="1"/>
    <xf numFmtId="2" fontId="0" fillId="0" borderId="0" xfId="0" applyNumberFormat="1"/>
    <xf numFmtId="0" fontId="0" fillId="0" borderId="0" xfId="0" applyFill="1"/>
    <xf numFmtId="14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43" fontId="0" fillId="0" borderId="0" xfId="0" applyNumberFormat="1" applyFill="1"/>
    <xf numFmtId="3" fontId="0" fillId="0" borderId="0" xfId="0" applyNumberFormat="1" applyFill="1"/>
    <xf numFmtId="2" fontId="0" fillId="0" borderId="0" xfId="0" applyNumberFormat="1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50C7-7F42-4F3A-9984-78E14D44833F}">
  <sheetPr filterMode="1"/>
  <dimension ref="A1:X485"/>
  <sheetViews>
    <sheetView showGridLines="0" tabSelected="1" topLeftCell="C1" zoomScaleNormal="100" workbookViewId="0">
      <pane ySplit="1" topLeftCell="A367" activePane="bottomLeft" state="frozen"/>
      <selection pane="bottomLeft" activeCell="G392" sqref="G392"/>
    </sheetView>
  </sheetViews>
  <sheetFormatPr defaultRowHeight="15" x14ac:dyDescent="0.25"/>
  <cols>
    <col min="2" max="2" width="13.42578125" bestFit="1" customWidth="1"/>
    <col min="3" max="3" width="10.7109375" bestFit="1" customWidth="1"/>
    <col min="4" max="4" width="13.140625" bestFit="1" customWidth="1"/>
    <col min="5" max="5" width="13.140625" customWidth="1"/>
    <col min="6" max="6" width="18.5703125" bestFit="1" customWidth="1"/>
    <col min="7" max="7" width="11.85546875" bestFit="1" customWidth="1"/>
    <col min="8" max="8" width="14" style="13" bestFit="1" customWidth="1"/>
    <col min="9" max="9" width="16.42578125" bestFit="1" customWidth="1"/>
    <col min="10" max="10" width="14.5703125" bestFit="1" customWidth="1"/>
    <col min="11" max="11" width="13.28515625" bestFit="1" customWidth="1"/>
    <col min="12" max="12" width="14.5703125" style="14" bestFit="1" customWidth="1"/>
    <col min="13" max="13" width="16.42578125" bestFit="1" customWidth="1"/>
    <col min="14" max="14" width="9.140625" bestFit="1" customWidth="1"/>
    <col min="15" max="15" width="15.42578125" bestFit="1" customWidth="1"/>
    <col min="16" max="17" width="14.5703125" bestFit="1" customWidth="1"/>
    <col min="18" max="18" width="13.28515625" bestFit="1" customWidth="1"/>
    <col min="19" max="19" width="12.140625" bestFit="1" customWidth="1"/>
    <col min="20" max="20" width="6.140625" style="14" bestFit="1" customWidth="1"/>
    <col min="21" max="21" width="7" bestFit="1" customWidth="1"/>
    <col min="22" max="22" width="14.28515625" bestFit="1" customWidth="1"/>
    <col min="23" max="23" width="9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</row>
    <row r="2" spans="1:22" hidden="1" x14ac:dyDescent="0.25">
      <c r="A2" t="str">
        <f>C2&amp;F2</f>
        <v>43830Debênture 2020</v>
      </c>
      <c r="B2" t="str">
        <f>C2&amp;D2</f>
        <v>43830Minerva</v>
      </c>
      <c r="C2" s="4">
        <v>43830</v>
      </c>
      <c r="D2" t="s">
        <v>20</v>
      </c>
      <c r="E2" t="s">
        <v>21</v>
      </c>
      <c r="F2" t="s">
        <v>22</v>
      </c>
      <c r="G2" t="s">
        <v>23</v>
      </c>
      <c r="H2" s="5">
        <v>353074</v>
      </c>
      <c r="I2" s="4">
        <v>44106</v>
      </c>
      <c r="J2" t="s">
        <v>24</v>
      </c>
      <c r="K2" s="6">
        <v>1.0549999999999999</v>
      </c>
      <c r="L2" s="7">
        <v>6.3E-2</v>
      </c>
      <c r="M2" s="8">
        <f t="shared" ref="M2:M37" si="0">(I2-C2)/365</f>
        <v>0.75616438356164384</v>
      </c>
      <c r="N2">
        <f t="shared" ref="N2:N37" si="1">YEAR(I2)</f>
        <v>2020</v>
      </c>
      <c r="O2" s="8">
        <f t="shared" ref="O2:O37" si="2">M2*H2</f>
        <v>266981.98356164386</v>
      </c>
      <c r="P2" s="9">
        <f t="shared" ref="P2:P37" si="3">L2*H2</f>
        <v>22243.662</v>
      </c>
      <c r="Q2" s="5">
        <f t="shared" ref="Q2:Q37" si="4">H2*L2</f>
        <v>22243.662</v>
      </c>
      <c r="R2" s="5">
        <f t="shared" ref="R2:R37" si="5">Q2/4</f>
        <v>5560.9155000000001</v>
      </c>
      <c r="S2" s="8">
        <f t="shared" ref="S2:S37" si="6">SUMIFS($O:$O,$C:$C,$C2,$D:$D,D2)/SUMIFS($H:$H,$C:$C,$C2,$D:$D,D2)</f>
        <v>4.6580927852865361</v>
      </c>
      <c r="T2" s="7">
        <f t="shared" ref="T2:T37" si="7">SUMIFS($P:$P,$C:$C,$C2,$D:$D,D2)/SUMIFS($H:$H,$C:$C,$C2,$D:$D,D2)</f>
        <v>6.4947068267823538E-2</v>
      </c>
      <c r="U2" s="8"/>
      <c r="V2" s="10"/>
    </row>
    <row r="3" spans="1:22" hidden="1" x14ac:dyDescent="0.25">
      <c r="A3" t="str">
        <f t="shared" ref="A3:A97" si="8">C3&amp;F3</f>
        <v>43830Debênture 2024</v>
      </c>
      <c r="B3" t="str">
        <f t="shared" ref="B3:B97" si="9">C3&amp;D3</f>
        <v>43830Minerva</v>
      </c>
      <c r="C3" s="4">
        <v>43830</v>
      </c>
      <c r="D3" t="s">
        <v>20</v>
      </c>
      <c r="E3" t="s">
        <v>21</v>
      </c>
      <c r="F3" t="s">
        <v>25</v>
      </c>
      <c r="G3" t="s">
        <v>23</v>
      </c>
      <c r="H3" s="5">
        <v>395426</v>
      </c>
      <c r="I3" s="4">
        <v>44696</v>
      </c>
      <c r="J3" t="s">
        <v>24</v>
      </c>
      <c r="K3" s="10">
        <v>1.7999999999999999E-2</v>
      </c>
      <c r="L3" s="7">
        <v>7.8E-2</v>
      </c>
      <c r="M3" s="8">
        <f t="shared" si="0"/>
        <v>2.3726027397260272</v>
      </c>
      <c r="N3">
        <f t="shared" si="1"/>
        <v>2022</v>
      </c>
      <c r="O3" s="8">
        <f t="shared" si="2"/>
        <v>938188.81095890398</v>
      </c>
      <c r="P3" s="9">
        <f t="shared" si="3"/>
        <v>30843.227999999999</v>
      </c>
      <c r="Q3" s="5">
        <f t="shared" si="4"/>
        <v>30843.227999999999</v>
      </c>
      <c r="R3" s="5">
        <f t="shared" si="5"/>
        <v>7710.8069999999998</v>
      </c>
      <c r="S3" s="8">
        <f t="shared" si="6"/>
        <v>4.6580927852865361</v>
      </c>
      <c r="T3" s="7">
        <f t="shared" si="7"/>
        <v>6.4947068267823538E-2</v>
      </c>
      <c r="U3" s="8"/>
      <c r="V3" s="11"/>
    </row>
    <row r="4" spans="1:22" hidden="1" x14ac:dyDescent="0.25">
      <c r="A4" t="str">
        <f t="shared" si="8"/>
        <v xml:space="preserve">43830Debênture </v>
      </c>
      <c r="B4" t="str">
        <f t="shared" si="9"/>
        <v>43830Minerva</v>
      </c>
      <c r="C4" s="4">
        <v>43830</v>
      </c>
      <c r="D4" t="s">
        <v>20</v>
      </c>
      <c r="E4" t="s">
        <v>21</v>
      </c>
      <c r="F4" t="s">
        <v>26</v>
      </c>
      <c r="G4" t="s">
        <v>23</v>
      </c>
      <c r="H4" s="5">
        <v>487074</v>
      </c>
      <c r="I4" s="4">
        <v>45427</v>
      </c>
      <c r="J4" t="s">
        <v>27</v>
      </c>
      <c r="K4" s="10">
        <v>4.4999999999999998E-2</v>
      </c>
      <c r="L4" s="7">
        <v>8.7999999999999995E-2</v>
      </c>
      <c r="M4" s="8">
        <f t="shared" si="0"/>
        <v>4.375342465753425</v>
      </c>
      <c r="N4">
        <f t="shared" si="1"/>
        <v>2024</v>
      </c>
      <c r="O4" s="8">
        <f t="shared" si="2"/>
        <v>2131115.5561643839</v>
      </c>
      <c r="P4" s="9">
        <f t="shared" si="3"/>
        <v>42862.511999999995</v>
      </c>
      <c r="Q4" s="5">
        <f t="shared" si="4"/>
        <v>42862.511999999995</v>
      </c>
      <c r="R4" s="5">
        <f t="shared" si="5"/>
        <v>10715.627999999999</v>
      </c>
      <c r="S4" s="8">
        <f t="shared" si="6"/>
        <v>4.6580927852865361</v>
      </c>
      <c r="T4" s="7">
        <f t="shared" si="7"/>
        <v>6.4947068267823538E-2</v>
      </c>
      <c r="U4" s="8"/>
      <c r="V4" s="11"/>
    </row>
    <row r="5" spans="1:22" hidden="1" x14ac:dyDescent="0.25">
      <c r="A5" t="str">
        <f t="shared" si="8"/>
        <v>43830CCB</v>
      </c>
      <c r="B5" t="str">
        <f t="shared" si="9"/>
        <v>43830Minerva</v>
      </c>
      <c r="C5" s="4">
        <v>43830</v>
      </c>
      <c r="D5" t="s">
        <v>20</v>
      </c>
      <c r="E5" t="s">
        <v>28</v>
      </c>
      <c r="F5" t="s">
        <v>29</v>
      </c>
      <c r="G5" t="s">
        <v>23</v>
      </c>
      <c r="H5" s="5">
        <v>23750</v>
      </c>
      <c r="I5" s="4">
        <v>43983</v>
      </c>
      <c r="J5" t="s">
        <v>30</v>
      </c>
      <c r="K5" s="10">
        <v>8.3500000000000005E-2</v>
      </c>
      <c r="L5" s="10">
        <f>K5</f>
        <v>8.3500000000000005E-2</v>
      </c>
      <c r="M5" s="8">
        <f t="shared" si="0"/>
        <v>0.41917808219178082</v>
      </c>
      <c r="N5">
        <f t="shared" si="1"/>
        <v>2020</v>
      </c>
      <c r="O5" s="8">
        <f t="shared" si="2"/>
        <v>9955.4794520547948</v>
      </c>
      <c r="P5" s="9">
        <f t="shared" si="3"/>
        <v>1983.125</v>
      </c>
      <c r="Q5" s="5">
        <f t="shared" si="4"/>
        <v>1983.125</v>
      </c>
      <c r="R5" s="5">
        <f t="shared" si="5"/>
        <v>495.78125</v>
      </c>
      <c r="S5" s="8">
        <f t="shared" si="6"/>
        <v>4.6580927852865361</v>
      </c>
      <c r="T5" s="7">
        <f t="shared" si="7"/>
        <v>6.4947068267823538E-2</v>
      </c>
      <c r="U5" s="8"/>
      <c r="V5" s="11"/>
    </row>
    <row r="6" spans="1:22" hidden="1" x14ac:dyDescent="0.25">
      <c r="A6" t="str">
        <f t="shared" si="8"/>
        <v>43830CCB</v>
      </c>
      <c r="B6" t="str">
        <f t="shared" si="9"/>
        <v>43830Minerva</v>
      </c>
      <c r="C6" s="4">
        <v>43830</v>
      </c>
      <c r="D6" t="s">
        <v>20</v>
      </c>
      <c r="E6" t="s">
        <v>28</v>
      </c>
      <c r="F6" t="s">
        <v>29</v>
      </c>
      <c r="G6" t="s">
        <v>23</v>
      </c>
      <c r="H6" s="5">
        <v>50000</v>
      </c>
      <c r="I6" s="4">
        <v>44348</v>
      </c>
      <c r="J6" t="s">
        <v>30</v>
      </c>
      <c r="K6" s="10">
        <v>8.3500000000000005E-2</v>
      </c>
      <c r="L6" s="10">
        <f>K6</f>
        <v>8.3500000000000005E-2</v>
      </c>
      <c r="M6" s="8">
        <f t="shared" si="0"/>
        <v>1.4191780821917808</v>
      </c>
      <c r="N6">
        <f t="shared" si="1"/>
        <v>2021</v>
      </c>
      <c r="O6" s="8">
        <f t="shared" si="2"/>
        <v>70958.904109589042</v>
      </c>
      <c r="P6" s="9">
        <f t="shared" si="3"/>
        <v>4175</v>
      </c>
      <c r="Q6" s="5">
        <f t="shared" si="4"/>
        <v>4175</v>
      </c>
      <c r="R6" s="5">
        <f t="shared" si="5"/>
        <v>1043.75</v>
      </c>
      <c r="S6" s="8">
        <f t="shared" si="6"/>
        <v>4.6580927852865361</v>
      </c>
      <c r="T6" s="7">
        <f t="shared" si="7"/>
        <v>6.4947068267823538E-2</v>
      </c>
      <c r="U6" s="8"/>
      <c r="V6" s="11"/>
    </row>
    <row r="7" spans="1:22" hidden="1" x14ac:dyDescent="0.25">
      <c r="A7" t="str">
        <f t="shared" si="8"/>
        <v>43830NCE</v>
      </c>
      <c r="B7" t="str">
        <f t="shared" si="9"/>
        <v>43830Minerva</v>
      </c>
      <c r="C7" s="4">
        <v>43830</v>
      </c>
      <c r="D7" t="s">
        <v>20</v>
      </c>
      <c r="E7" t="s">
        <v>31</v>
      </c>
      <c r="F7" t="s">
        <v>31</v>
      </c>
      <c r="G7" t="s">
        <v>23</v>
      </c>
      <c r="H7" s="5">
        <f>881740-102667</f>
        <v>779073</v>
      </c>
      <c r="I7" s="4">
        <v>43983</v>
      </c>
      <c r="J7" t="s">
        <v>24</v>
      </c>
      <c r="K7" s="10">
        <v>0.03</v>
      </c>
      <c r="L7" s="7">
        <v>0.09</v>
      </c>
      <c r="M7" s="8">
        <f t="shared" si="0"/>
        <v>0.41917808219178082</v>
      </c>
      <c r="N7">
        <f t="shared" si="1"/>
        <v>2020</v>
      </c>
      <c r="O7" s="8">
        <f t="shared" si="2"/>
        <v>326570.32602739724</v>
      </c>
      <c r="P7" s="9">
        <f t="shared" si="3"/>
        <v>70116.569999999992</v>
      </c>
      <c r="Q7" s="5">
        <f t="shared" si="4"/>
        <v>70116.569999999992</v>
      </c>
      <c r="R7" s="5">
        <f t="shared" si="5"/>
        <v>17529.142499999998</v>
      </c>
      <c r="S7" s="8">
        <f t="shared" si="6"/>
        <v>4.6580927852865361</v>
      </c>
      <c r="T7" s="7">
        <f t="shared" si="7"/>
        <v>6.4947068267823538E-2</v>
      </c>
      <c r="U7" s="8"/>
      <c r="V7" s="11"/>
    </row>
    <row r="8" spans="1:22" hidden="1" x14ac:dyDescent="0.25">
      <c r="A8" t="str">
        <f t="shared" si="8"/>
        <v>43830NCE</v>
      </c>
      <c r="B8" t="str">
        <f t="shared" si="9"/>
        <v>43830Minerva</v>
      </c>
      <c r="C8" s="4">
        <v>43830</v>
      </c>
      <c r="D8" t="s">
        <v>20</v>
      </c>
      <c r="E8" t="s">
        <v>31</v>
      </c>
      <c r="F8" t="s">
        <v>31</v>
      </c>
      <c r="G8" t="s">
        <v>23</v>
      </c>
      <c r="H8" s="5">
        <v>102667</v>
      </c>
      <c r="I8" s="4">
        <v>44348</v>
      </c>
      <c r="J8" t="s">
        <v>24</v>
      </c>
      <c r="K8" s="10">
        <v>0.03</v>
      </c>
      <c r="L8" s="7">
        <v>0.09</v>
      </c>
      <c r="M8" s="8">
        <f t="shared" si="0"/>
        <v>1.4191780821917808</v>
      </c>
      <c r="N8">
        <f t="shared" si="1"/>
        <v>2021</v>
      </c>
      <c r="O8" s="8">
        <f t="shared" si="2"/>
        <v>145702.75616438355</v>
      </c>
      <c r="P8" s="9">
        <f t="shared" si="3"/>
        <v>9240.0299999999988</v>
      </c>
      <c r="Q8" s="5">
        <f t="shared" si="4"/>
        <v>9240.0299999999988</v>
      </c>
      <c r="R8" s="5">
        <f t="shared" si="5"/>
        <v>2310.0074999999997</v>
      </c>
      <c r="S8" s="8">
        <f t="shared" si="6"/>
        <v>4.6580927852865361</v>
      </c>
      <c r="T8" s="7">
        <f t="shared" si="7"/>
        <v>6.4947068267823538E-2</v>
      </c>
      <c r="U8" s="8"/>
      <c r="V8" s="11"/>
    </row>
    <row r="9" spans="1:22" hidden="1" x14ac:dyDescent="0.25">
      <c r="A9" t="str">
        <f t="shared" si="8"/>
        <v>43830IFC</v>
      </c>
      <c r="B9" t="str">
        <f t="shared" si="9"/>
        <v>43830Minerva</v>
      </c>
      <c r="C9" s="4">
        <v>43830</v>
      </c>
      <c r="D9" t="s">
        <v>20</v>
      </c>
      <c r="E9" t="s">
        <v>28</v>
      </c>
      <c r="F9" t="s">
        <v>32</v>
      </c>
      <c r="G9" t="s">
        <v>23</v>
      </c>
      <c r="H9" s="5">
        <v>17215</v>
      </c>
      <c r="I9" s="4">
        <v>44301</v>
      </c>
      <c r="J9" t="s">
        <v>24</v>
      </c>
      <c r="K9" s="10">
        <v>2.35E-2</v>
      </c>
      <c r="L9" s="7">
        <v>7.0000000000000007E-2</v>
      </c>
      <c r="M9" s="8">
        <f t="shared" si="0"/>
        <v>1.2904109589041095</v>
      </c>
      <c r="N9">
        <f t="shared" si="1"/>
        <v>2021</v>
      </c>
      <c r="O9" s="8">
        <f t="shared" si="2"/>
        <v>22214.424657534244</v>
      </c>
      <c r="P9" s="9">
        <f t="shared" si="3"/>
        <v>1205.0500000000002</v>
      </c>
      <c r="Q9" s="5">
        <f t="shared" si="4"/>
        <v>1205.0500000000002</v>
      </c>
      <c r="R9" s="5">
        <f t="shared" si="5"/>
        <v>301.26250000000005</v>
      </c>
      <c r="S9" s="8">
        <f t="shared" si="6"/>
        <v>4.6580927852865361</v>
      </c>
      <c r="T9" s="7">
        <f t="shared" si="7"/>
        <v>6.4947068267823538E-2</v>
      </c>
      <c r="U9" s="8"/>
      <c r="V9" s="11"/>
    </row>
    <row r="10" spans="1:22" hidden="1" x14ac:dyDescent="0.25">
      <c r="A10" t="str">
        <f t="shared" si="8"/>
        <v>43830IFC</v>
      </c>
      <c r="B10" t="str">
        <f t="shared" si="9"/>
        <v>43830Minerva</v>
      </c>
      <c r="C10" s="4">
        <v>43830</v>
      </c>
      <c r="D10" t="s">
        <v>20</v>
      </c>
      <c r="E10" t="s">
        <v>28</v>
      </c>
      <c r="F10" t="s">
        <v>32</v>
      </c>
      <c r="G10" t="s">
        <v>23</v>
      </c>
      <c r="H10" s="5">
        <v>17215</v>
      </c>
      <c r="I10" s="4">
        <v>44666</v>
      </c>
      <c r="J10" t="s">
        <v>24</v>
      </c>
      <c r="K10" s="10">
        <v>2.35E-2</v>
      </c>
      <c r="L10" s="7">
        <v>7.0000000000000007E-2</v>
      </c>
      <c r="M10" s="8">
        <f t="shared" si="0"/>
        <v>2.2904109589041095</v>
      </c>
      <c r="N10">
        <f t="shared" si="1"/>
        <v>2022</v>
      </c>
      <c r="O10" s="8">
        <f t="shared" si="2"/>
        <v>39429.424657534248</v>
      </c>
      <c r="P10" s="9">
        <f t="shared" si="3"/>
        <v>1205.0500000000002</v>
      </c>
      <c r="Q10" s="5">
        <f t="shared" si="4"/>
        <v>1205.0500000000002</v>
      </c>
      <c r="R10" s="5">
        <f t="shared" si="5"/>
        <v>301.26250000000005</v>
      </c>
      <c r="S10" s="8">
        <f t="shared" si="6"/>
        <v>4.6580927852865361</v>
      </c>
      <c r="T10" s="7">
        <f t="shared" si="7"/>
        <v>6.4947068267823538E-2</v>
      </c>
      <c r="U10" s="8"/>
      <c r="V10" s="11"/>
    </row>
    <row r="11" spans="1:22" hidden="1" x14ac:dyDescent="0.25">
      <c r="A11" t="str">
        <f t="shared" si="8"/>
        <v>43830IFC</v>
      </c>
      <c r="B11" t="str">
        <f t="shared" si="9"/>
        <v>43830Minerva</v>
      </c>
      <c r="C11" s="4">
        <v>43830</v>
      </c>
      <c r="D11" t="s">
        <v>20</v>
      </c>
      <c r="E11" t="s">
        <v>28</v>
      </c>
      <c r="F11" t="s">
        <v>32</v>
      </c>
      <c r="G11" t="s">
        <v>23</v>
      </c>
      <c r="H11" s="5">
        <f>61222-H9-H10</f>
        <v>26792</v>
      </c>
      <c r="I11" s="4">
        <v>45031</v>
      </c>
      <c r="J11" t="s">
        <v>24</v>
      </c>
      <c r="K11" s="10">
        <v>2.35E-2</v>
      </c>
      <c r="L11" s="7">
        <v>7.0000000000000007E-2</v>
      </c>
      <c r="M11" s="8">
        <f t="shared" si="0"/>
        <v>3.2904109589041095</v>
      </c>
      <c r="N11">
        <f t="shared" si="1"/>
        <v>2023</v>
      </c>
      <c r="O11" s="8">
        <f t="shared" si="2"/>
        <v>88156.690410958909</v>
      </c>
      <c r="P11" s="9">
        <f t="shared" si="3"/>
        <v>1875.4400000000003</v>
      </c>
      <c r="Q11" s="5">
        <f t="shared" si="4"/>
        <v>1875.4400000000003</v>
      </c>
      <c r="R11" s="5">
        <f t="shared" si="5"/>
        <v>468.86000000000007</v>
      </c>
      <c r="S11" s="8">
        <f t="shared" si="6"/>
        <v>4.6580927852865361</v>
      </c>
      <c r="T11" s="7">
        <f t="shared" si="7"/>
        <v>6.4947068267823538E-2</v>
      </c>
      <c r="U11" s="8"/>
      <c r="V11" s="11"/>
    </row>
    <row r="12" spans="1:22" hidden="1" x14ac:dyDescent="0.25">
      <c r="A12" t="str">
        <f t="shared" si="8"/>
        <v>43830ACC</v>
      </c>
      <c r="B12" t="str">
        <f t="shared" si="9"/>
        <v>43830Minerva</v>
      </c>
      <c r="C12" s="4">
        <v>43830</v>
      </c>
      <c r="D12" t="s">
        <v>20</v>
      </c>
      <c r="E12" t="s">
        <v>33</v>
      </c>
      <c r="F12" t="s">
        <v>33</v>
      </c>
      <c r="G12" t="s">
        <v>34</v>
      </c>
      <c r="H12" s="5">
        <v>1120710</v>
      </c>
      <c r="I12" s="4">
        <v>43983</v>
      </c>
      <c r="J12" t="s">
        <v>30</v>
      </c>
      <c r="K12" s="10">
        <v>5.5E-2</v>
      </c>
      <c r="L12" s="10">
        <f>K12</f>
        <v>5.5E-2</v>
      </c>
      <c r="M12" s="8">
        <f t="shared" si="0"/>
        <v>0.41917808219178082</v>
      </c>
      <c r="N12">
        <f t="shared" si="1"/>
        <v>2020</v>
      </c>
      <c r="O12" s="8">
        <f t="shared" si="2"/>
        <v>469777.0684931507</v>
      </c>
      <c r="P12" s="9">
        <f t="shared" si="3"/>
        <v>61639.05</v>
      </c>
      <c r="Q12" s="5">
        <f t="shared" si="4"/>
        <v>61639.05</v>
      </c>
      <c r="R12" s="5">
        <f t="shared" si="5"/>
        <v>15409.762500000001</v>
      </c>
      <c r="S12" s="8">
        <f t="shared" si="6"/>
        <v>4.6580927852865361</v>
      </c>
      <c r="T12" s="7">
        <f t="shared" si="7"/>
        <v>6.4947068267823538E-2</v>
      </c>
      <c r="U12" s="8"/>
    </row>
    <row r="13" spans="1:22" hidden="1" x14ac:dyDescent="0.25">
      <c r="A13" t="str">
        <f t="shared" si="8"/>
        <v>43830Bond</v>
      </c>
      <c r="B13" t="str">
        <f t="shared" si="9"/>
        <v>43830Minerva</v>
      </c>
      <c r="C13" s="4">
        <v>43830</v>
      </c>
      <c r="D13" t="s">
        <v>20</v>
      </c>
      <c r="E13" t="s">
        <v>35</v>
      </c>
      <c r="F13" t="s">
        <v>35</v>
      </c>
      <c r="G13" t="s">
        <v>34</v>
      </c>
      <c r="H13" s="5">
        <v>102071</v>
      </c>
      <c r="I13" s="4">
        <v>44002</v>
      </c>
      <c r="J13" t="s">
        <v>30</v>
      </c>
      <c r="K13" s="10">
        <v>6.5000000000000002E-2</v>
      </c>
      <c r="L13" s="10">
        <f t="shared" ref="L13:L15" si="10">K13</f>
        <v>6.5000000000000002E-2</v>
      </c>
      <c r="M13" s="8">
        <f t="shared" si="0"/>
        <v>0.47123287671232877</v>
      </c>
      <c r="N13">
        <f t="shared" si="1"/>
        <v>2020</v>
      </c>
      <c r="O13" s="8">
        <f t="shared" si="2"/>
        <v>48099.210958904114</v>
      </c>
      <c r="P13" s="9">
        <f t="shared" si="3"/>
        <v>6634.6149999999998</v>
      </c>
      <c r="Q13" s="5">
        <f t="shared" si="4"/>
        <v>6634.6149999999998</v>
      </c>
      <c r="R13" s="5">
        <f t="shared" si="5"/>
        <v>1658.6537499999999</v>
      </c>
      <c r="S13" s="8">
        <f t="shared" si="6"/>
        <v>4.6580927852865361</v>
      </c>
      <c r="T13" s="7">
        <f t="shared" si="7"/>
        <v>6.4947068267823538E-2</v>
      </c>
    </row>
    <row r="14" spans="1:22" hidden="1" x14ac:dyDescent="0.25">
      <c r="A14" t="str">
        <f t="shared" si="8"/>
        <v>43830Bond</v>
      </c>
      <c r="B14" t="str">
        <f t="shared" si="9"/>
        <v>43830Minerva</v>
      </c>
      <c r="C14" s="4">
        <v>43830</v>
      </c>
      <c r="D14" t="s">
        <v>20</v>
      </c>
      <c r="E14" t="s">
        <v>35</v>
      </c>
      <c r="F14" t="s">
        <v>35</v>
      </c>
      <c r="G14" t="s">
        <v>34</v>
      </c>
      <c r="H14" s="5">
        <v>4751215</v>
      </c>
      <c r="I14" s="4">
        <v>46285</v>
      </c>
      <c r="J14" t="s">
        <v>30</v>
      </c>
      <c r="K14" s="10">
        <v>6.5000000000000002E-2</v>
      </c>
      <c r="L14" s="10">
        <f t="shared" si="10"/>
        <v>6.5000000000000002E-2</v>
      </c>
      <c r="M14" s="8">
        <f t="shared" si="0"/>
        <v>6.7260273972602738</v>
      </c>
      <c r="N14">
        <f t="shared" si="1"/>
        <v>2026</v>
      </c>
      <c r="O14" s="8">
        <f t="shared" si="2"/>
        <v>31956802.260273971</v>
      </c>
      <c r="P14" s="9">
        <f t="shared" si="3"/>
        <v>308828.97500000003</v>
      </c>
      <c r="Q14" s="5">
        <f t="shared" si="4"/>
        <v>308828.97500000003</v>
      </c>
      <c r="R14" s="5">
        <f t="shared" si="5"/>
        <v>77207.243750000009</v>
      </c>
      <c r="S14" s="8">
        <f t="shared" si="6"/>
        <v>4.6580927852865361</v>
      </c>
      <c r="T14" s="7">
        <f t="shared" si="7"/>
        <v>6.4947068267823538E-2</v>
      </c>
    </row>
    <row r="15" spans="1:22" hidden="1" x14ac:dyDescent="0.25">
      <c r="A15" t="str">
        <f t="shared" si="8"/>
        <v>43830Bond</v>
      </c>
      <c r="B15" t="str">
        <f t="shared" si="9"/>
        <v>43830Minerva</v>
      </c>
      <c r="C15" s="4">
        <v>43830</v>
      </c>
      <c r="D15" t="s">
        <v>20</v>
      </c>
      <c r="E15" t="s">
        <v>35</v>
      </c>
      <c r="F15" t="s">
        <v>35</v>
      </c>
      <c r="G15" t="s">
        <v>34</v>
      </c>
      <c r="H15" s="5">
        <v>1770435</v>
      </c>
      <c r="I15" s="4">
        <v>47016</v>
      </c>
      <c r="J15" t="s">
        <v>30</v>
      </c>
      <c r="K15" s="10">
        <v>5.8749999999999997E-2</v>
      </c>
      <c r="L15" s="10">
        <f t="shared" si="10"/>
        <v>5.8749999999999997E-2</v>
      </c>
      <c r="M15" s="8">
        <f t="shared" si="0"/>
        <v>8.7287671232876711</v>
      </c>
      <c r="N15">
        <f t="shared" si="1"/>
        <v>2028</v>
      </c>
      <c r="O15" s="8">
        <f t="shared" si="2"/>
        <v>15453714.821917808</v>
      </c>
      <c r="P15" s="9">
        <f t="shared" si="3"/>
        <v>104013.05624999999</v>
      </c>
      <c r="Q15" s="5">
        <f t="shared" si="4"/>
        <v>104013.05624999999</v>
      </c>
      <c r="R15" s="5">
        <f t="shared" si="5"/>
        <v>26003.264062499999</v>
      </c>
      <c r="S15" s="8">
        <f t="shared" si="6"/>
        <v>4.6580927852865361</v>
      </c>
      <c r="T15" s="7">
        <f t="shared" si="7"/>
        <v>6.4947068267823538E-2</v>
      </c>
    </row>
    <row r="16" spans="1:22" hidden="1" x14ac:dyDescent="0.25">
      <c r="A16" t="str">
        <f t="shared" si="8"/>
        <v>43830PPE</v>
      </c>
      <c r="B16" t="str">
        <f t="shared" si="9"/>
        <v>43830Minerva</v>
      </c>
      <c r="C16" s="4">
        <v>43830</v>
      </c>
      <c r="D16" t="s">
        <v>20</v>
      </c>
      <c r="E16" t="s">
        <v>36</v>
      </c>
      <c r="F16" t="s">
        <v>36</v>
      </c>
      <c r="G16" t="s">
        <v>34</v>
      </c>
      <c r="H16" s="5">
        <v>453454</v>
      </c>
      <c r="I16" s="4">
        <v>44348</v>
      </c>
      <c r="J16" t="s">
        <v>37</v>
      </c>
      <c r="K16" s="12">
        <v>0.02</v>
      </c>
      <c r="L16" s="7">
        <v>0.04</v>
      </c>
      <c r="M16" s="8">
        <f t="shared" si="0"/>
        <v>1.4191780821917808</v>
      </c>
      <c r="N16">
        <f t="shared" si="1"/>
        <v>2021</v>
      </c>
      <c r="O16" s="8">
        <f t="shared" si="2"/>
        <v>643531.97808219178</v>
      </c>
      <c r="P16" s="9">
        <f t="shared" si="3"/>
        <v>18138.16</v>
      </c>
      <c r="Q16" s="5">
        <f t="shared" si="4"/>
        <v>18138.16</v>
      </c>
      <c r="R16" s="5">
        <f t="shared" si="5"/>
        <v>4534.54</v>
      </c>
      <c r="S16" s="8">
        <f t="shared" si="6"/>
        <v>4.6580927852865361</v>
      </c>
      <c r="T16" s="7">
        <f t="shared" si="7"/>
        <v>6.4947068267823538E-2</v>
      </c>
    </row>
    <row r="17" spans="1:20" hidden="1" x14ac:dyDescent="0.25">
      <c r="A17" t="str">
        <f t="shared" si="8"/>
        <v>43830PPE</v>
      </c>
      <c r="B17" t="str">
        <f t="shared" si="9"/>
        <v>43830Minerva</v>
      </c>
      <c r="C17" s="4">
        <v>43830</v>
      </c>
      <c r="D17" t="s">
        <v>20</v>
      </c>
      <c r="E17" t="s">
        <v>36</v>
      </c>
      <c r="F17" t="s">
        <v>36</v>
      </c>
      <c r="G17" t="s">
        <v>34</v>
      </c>
      <c r="H17" s="5">
        <v>251919</v>
      </c>
      <c r="I17" s="4">
        <v>44713</v>
      </c>
      <c r="J17" t="s">
        <v>37</v>
      </c>
      <c r="K17" s="12">
        <v>0.02</v>
      </c>
      <c r="L17" s="7">
        <v>0.04</v>
      </c>
      <c r="M17" s="8">
        <f t="shared" si="0"/>
        <v>2.419178082191781</v>
      </c>
      <c r="N17">
        <f t="shared" si="1"/>
        <v>2022</v>
      </c>
      <c r="O17" s="8">
        <f t="shared" si="2"/>
        <v>609436.92328767129</v>
      </c>
      <c r="P17" s="9">
        <f t="shared" si="3"/>
        <v>10076.76</v>
      </c>
      <c r="Q17" s="5">
        <f t="shared" si="4"/>
        <v>10076.76</v>
      </c>
      <c r="R17" s="5">
        <f t="shared" si="5"/>
        <v>2519.19</v>
      </c>
      <c r="S17" s="8">
        <f t="shared" si="6"/>
        <v>4.6580927852865361</v>
      </c>
      <c r="T17" s="7">
        <f t="shared" si="7"/>
        <v>6.4947068267823538E-2</v>
      </c>
    </row>
    <row r="18" spans="1:20" hidden="1" x14ac:dyDescent="0.25">
      <c r="A18" t="str">
        <f t="shared" si="8"/>
        <v>43830CCE</v>
      </c>
      <c r="B18" t="str">
        <f t="shared" si="9"/>
        <v>43830Minerva</v>
      </c>
      <c r="C18" s="4">
        <v>43830</v>
      </c>
      <c r="D18" t="s">
        <v>20</v>
      </c>
      <c r="E18" t="s">
        <v>28</v>
      </c>
      <c r="F18" t="s">
        <v>38</v>
      </c>
      <c r="G18" t="s">
        <v>34</v>
      </c>
      <c r="H18" s="5">
        <v>253958</v>
      </c>
      <c r="I18" s="4">
        <v>43983</v>
      </c>
      <c r="J18" t="s">
        <v>30</v>
      </c>
      <c r="K18" s="10">
        <v>6.5000000000000002E-2</v>
      </c>
      <c r="L18" s="10">
        <f>K18</f>
        <v>6.5000000000000002E-2</v>
      </c>
      <c r="M18" s="8">
        <f t="shared" si="0"/>
        <v>0.41917808219178082</v>
      </c>
      <c r="N18">
        <f t="shared" si="1"/>
        <v>2020</v>
      </c>
      <c r="O18" s="8">
        <f t="shared" si="2"/>
        <v>106453.62739726028</v>
      </c>
      <c r="P18" s="9">
        <f t="shared" si="3"/>
        <v>16507.27</v>
      </c>
      <c r="Q18" s="5">
        <f t="shared" si="4"/>
        <v>16507.27</v>
      </c>
      <c r="R18" s="5">
        <f t="shared" si="5"/>
        <v>4126.8175000000001</v>
      </c>
      <c r="S18" s="8">
        <f t="shared" si="6"/>
        <v>4.6580927852865361</v>
      </c>
      <c r="T18" s="7">
        <f t="shared" si="7"/>
        <v>6.4947068267823538E-2</v>
      </c>
    </row>
    <row r="19" spans="1:20" hidden="1" x14ac:dyDescent="0.25">
      <c r="A19" t="str">
        <f t="shared" si="8"/>
        <v>43830Secured Loan</v>
      </c>
      <c r="B19" t="str">
        <f t="shared" si="9"/>
        <v>43830Minerva</v>
      </c>
      <c r="C19" s="4">
        <v>43830</v>
      </c>
      <c r="D19" t="s">
        <v>20</v>
      </c>
      <c r="E19" t="s">
        <v>28</v>
      </c>
      <c r="F19" t="s">
        <v>39</v>
      </c>
      <c r="G19" t="s">
        <v>34</v>
      </c>
      <c r="H19" s="5">
        <v>953</v>
      </c>
      <c r="I19" s="4">
        <v>43983</v>
      </c>
      <c r="J19" t="s">
        <v>30</v>
      </c>
      <c r="K19" s="10">
        <v>6.5000000000000002E-2</v>
      </c>
      <c r="L19" s="10">
        <f t="shared" ref="L19:L37" si="11">K19</f>
        <v>6.5000000000000002E-2</v>
      </c>
      <c r="M19" s="8">
        <f t="shared" si="0"/>
        <v>0.41917808219178082</v>
      </c>
      <c r="N19">
        <f t="shared" si="1"/>
        <v>2020</v>
      </c>
      <c r="O19" s="8">
        <f t="shared" si="2"/>
        <v>399.47671232876712</v>
      </c>
      <c r="P19" s="9">
        <f t="shared" si="3"/>
        <v>61.945</v>
      </c>
      <c r="Q19" s="5">
        <f t="shared" si="4"/>
        <v>61.945</v>
      </c>
      <c r="R19" s="5">
        <f t="shared" si="5"/>
        <v>15.48625</v>
      </c>
      <c r="S19" s="8">
        <f t="shared" si="6"/>
        <v>4.6580927852865361</v>
      </c>
      <c r="T19" s="7">
        <f t="shared" si="7"/>
        <v>6.4947068267823538E-2</v>
      </c>
    </row>
    <row r="20" spans="1:20" hidden="1" x14ac:dyDescent="0.25">
      <c r="A20" t="str">
        <f t="shared" si="8"/>
        <v>43830Secured Loan</v>
      </c>
      <c r="B20" t="str">
        <f t="shared" si="9"/>
        <v>43830Minerva</v>
      </c>
      <c r="C20" s="4">
        <v>43830</v>
      </c>
      <c r="D20" t="s">
        <v>20</v>
      </c>
      <c r="E20" t="s">
        <v>28</v>
      </c>
      <c r="F20" t="s">
        <v>39</v>
      </c>
      <c r="G20" t="s">
        <v>34</v>
      </c>
      <c r="H20" s="5">
        <v>993</v>
      </c>
      <c r="I20" s="4">
        <v>44348</v>
      </c>
      <c r="J20" t="s">
        <v>30</v>
      </c>
      <c r="K20" s="10">
        <v>6.5000000000000002E-2</v>
      </c>
      <c r="L20" s="10">
        <f t="shared" si="11"/>
        <v>6.5000000000000002E-2</v>
      </c>
      <c r="M20" s="8">
        <f t="shared" si="0"/>
        <v>1.4191780821917808</v>
      </c>
      <c r="N20">
        <f t="shared" si="1"/>
        <v>2021</v>
      </c>
      <c r="O20" s="8">
        <f t="shared" si="2"/>
        <v>1409.2438356164382</v>
      </c>
      <c r="P20" s="9">
        <f t="shared" si="3"/>
        <v>64.545000000000002</v>
      </c>
      <c r="Q20" s="5">
        <f t="shared" si="4"/>
        <v>64.545000000000002</v>
      </c>
      <c r="R20" s="5">
        <f t="shared" si="5"/>
        <v>16.13625</v>
      </c>
      <c r="S20" s="8">
        <f t="shared" si="6"/>
        <v>4.6580927852865361</v>
      </c>
      <c r="T20" s="7">
        <f t="shared" si="7"/>
        <v>6.4947068267823538E-2</v>
      </c>
    </row>
    <row r="21" spans="1:20" hidden="1" x14ac:dyDescent="0.25">
      <c r="A21" t="str">
        <f t="shared" si="8"/>
        <v>43830Secured Loan</v>
      </c>
      <c r="B21" t="str">
        <f t="shared" si="9"/>
        <v>43830Minerva</v>
      </c>
      <c r="C21" s="4">
        <v>43830</v>
      </c>
      <c r="D21" t="s">
        <v>20</v>
      </c>
      <c r="E21" t="s">
        <v>28</v>
      </c>
      <c r="F21" t="s">
        <v>39</v>
      </c>
      <c r="G21" t="s">
        <v>34</v>
      </c>
      <c r="H21" s="5">
        <v>1069</v>
      </c>
      <c r="I21" s="4">
        <v>44713</v>
      </c>
      <c r="J21" t="s">
        <v>30</v>
      </c>
      <c r="K21" s="10">
        <v>6.5000000000000002E-2</v>
      </c>
      <c r="L21" s="10">
        <f t="shared" si="11"/>
        <v>6.5000000000000002E-2</v>
      </c>
      <c r="M21" s="8">
        <f t="shared" si="0"/>
        <v>2.419178082191781</v>
      </c>
      <c r="N21">
        <f t="shared" si="1"/>
        <v>2022</v>
      </c>
      <c r="O21" s="8">
        <f t="shared" si="2"/>
        <v>2586.101369863014</v>
      </c>
      <c r="P21" s="9">
        <f t="shared" si="3"/>
        <v>69.484999999999999</v>
      </c>
      <c r="Q21" s="5">
        <f t="shared" si="4"/>
        <v>69.484999999999999</v>
      </c>
      <c r="R21" s="5">
        <f t="shared" si="5"/>
        <v>17.37125</v>
      </c>
      <c r="S21" s="8">
        <f t="shared" si="6"/>
        <v>4.6580927852865361</v>
      </c>
      <c r="T21" s="7">
        <f t="shared" si="7"/>
        <v>6.4947068267823538E-2</v>
      </c>
    </row>
    <row r="22" spans="1:20" hidden="1" x14ac:dyDescent="0.25">
      <c r="A22" t="str">
        <f t="shared" si="8"/>
        <v>43830Secured Loan</v>
      </c>
      <c r="B22" t="str">
        <f t="shared" si="9"/>
        <v>43830Minerva</v>
      </c>
      <c r="C22" s="4">
        <v>43830</v>
      </c>
      <c r="D22" t="s">
        <v>20</v>
      </c>
      <c r="E22" t="s">
        <v>28</v>
      </c>
      <c r="F22" t="s">
        <v>39</v>
      </c>
      <c r="G22" t="s">
        <v>34</v>
      </c>
      <c r="H22" s="5">
        <v>1152</v>
      </c>
      <c r="I22" s="4">
        <v>45078</v>
      </c>
      <c r="J22" t="s">
        <v>30</v>
      </c>
      <c r="K22" s="10">
        <v>6.5000000000000002E-2</v>
      </c>
      <c r="L22" s="10">
        <f t="shared" si="11"/>
        <v>6.5000000000000002E-2</v>
      </c>
      <c r="M22" s="8">
        <f t="shared" si="0"/>
        <v>3.419178082191781</v>
      </c>
      <c r="N22">
        <f t="shared" si="1"/>
        <v>2023</v>
      </c>
      <c r="O22" s="8">
        <f t="shared" si="2"/>
        <v>3938.8931506849317</v>
      </c>
      <c r="P22" s="9">
        <f t="shared" si="3"/>
        <v>74.88</v>
      </c>
      <c r="Q22" s="5">
        <f t="shared" si="4"/>
        <v>74.88</v>
      </c>
      <c r="R22" s="5">
        <f t="shared" si="5"/>
        <v>18.72</v>
      </c>
      <c r="S22" s="8">
        <f t="shared" si="6"/>
        <v>4.6580927852865361</v>
      </c>
      <c r="T22" s="7">
        <f t="shared" si="7"/>
        <v>6.4947068267823538E-2</v>
      </c>
    </row>
    <row r="23" spans="1:20" hidden="1" x14ac:dyDescent="0.25">
      <c r="A23" t="str">
        <f t="shared" si="8"/>
        <v>43830Secured Loan</v>
      </c>
      <c r="B23" t="str">
        <f t="shared" si="9"/>
        <v>43830Minerva</v>
      </c>
      <c r="C23" s="4">
        <v>43830</v>
      </c>
      <c r="D23" t="s">
        <v>20</v>
      </c>
      <c r="E23" t="s">
        <v>28</v>
      </c>
      <c r="F23" t="s">
        <v>39</v>
      </c>
      <c r="G23" t="s">
        <v>34</v>
      </c>
      <c r="H23" s="5">
        <v>1134</v>
      </c>
      <c r="I23" s="4">
        <v>45444</v>
      </c>
      <c r="J23" t="s">
        <v>30</v>
      </c>
      <c r="K23" s="10">
        <v>6.5000000000000002E-2</v>
      </c>
      <c r="L23" s="10">
        <f t="shared" si="11"/>
        <v>6.5000000000000002E-2</v>
      </c>
      <c r="M23" s="8">
        <f t="shared" si="0"/>
        <v>4.4219178082191783</v>
      </c>
      <c r="N23">
        <f t="shared" si="1"/>
        <v>2024</v>
      </c>
      <c r="O23" s="8">
        <f t="shared" si="2"/>
        <v>5014.4547945205486</v>
      </c>
      <c r="P23" s="9">
        <f t="shared" si="3"/>
        <v>73.710000000000008</v>
      </c>
      <c r="Q23" s="5">
        <f t="shared" si="4"/>
        <v>73.710000000000008</v>
      </c>
      <c r="R23" s="5">
        <f t="shared" si="5"/>
        <v>18.427500000000002</v>
      </c>
      <c r="S23" s="8">
        <f t="shared" si="6"/>
        <v>4.6580927852865361</v>
      </c>
      <c r="T23" s="7">
        <f t="shared" si="7"/>
        <v>6.4947068267823538E-2</v>
      </c>
    </row>
    <row r="24" spans="1:20" hidden="1" x14ac:dyDescent="0.25">
      <c r="A24" t="str">
        <f t="shared" si="8"/>
        <v>43830Secured Loan</v>
      </c>
      <c r="B24" t="str">
        <f t="shared" si="9"/>
        <v>43830Minerva</v>
      </c>
      <c r="C24" s="4">
        <v>43830</v>
      </c>
      <c r="D24" t="s">
        <v>20</v>
      </c>
      <c r="E24" t="s">
        <v>28</v>
      </c>
      <c r="F24" t="s">
        <v>39</v>
      </c>
      <c r="G24" t="s">
        <v>34</v>
      </c>
      <c r="H24" s="5">
        <v>1085</v>
      </c>
      <c r="I24" s="4">
        <v>45809</v>
      </c>
      <c r="J24" t="s">
        <v>30</v>
      </c>
      <c r="K24" s="10">
        <v>6.5000000000000002E-2</v>
      </c>
      <c r="L24" s="10">
        <f t="shared" si="11"/>
        <v>6.5000000000000002E-2</v>
      </c>
      <c r="M24" s="8">
        <f t="shared" si="0"/>
        <v>5.4219178082191783</v>
      </c>
      <c r="N24">
        <f t="shared" si="1"/>
        <v>2025</v>
      </c>
      <c r="O24" s="8">
        <f t="shared" si="2"/>
        <v>5882.7808219178087</v>
      </c>
      <c r="P24" s="9">
        <f t="shared" si="3"/>
        <v>70.525000000000006</v>
      </c>
      <c r="Q24" s="5">
        <f t="shared" si="4"/>
        <v>70.525000000000006</v>
      </c>
      <c r="R24" s="5">
        <f t="shared" si="5"/>
        <v>17.631250000000001</v>
      </c>
      <c r="S24" s="8">
        <f t="shared" si="6"/>
        <v>4.6580927852865361</v>
      </c>
      <c r="T24" s="7">
        <f t="shared" si="7"/>
        <v>6.4947068267823538E-2</v>
      </c>
    </row>
    <row r="25" spans="1:20" hidden="1" x14ac:dyDescent="0.25">
      <c r="A25" t="str">
        <f t="shared" si="8"/>
        <v>43830Secured Loan</v>
      </c>
      <c r="B25" t="str">
        <f t="shared" si="9"/>
        <v>43830Minerva</v>
      </c>
      <c r="C25" s="4">
        <v>43830</v>
      </c>
      <c r="D25" t="s">
        <v>20</v>
      </c>
      <c r="E25" t="s">
        <v>28</v>
      </c>
      <c r="F25" t="s">
        <v>39</v>
      </c>
      <c r="G25" t="s">
        <v>34</v>
      </c>
      <c r="H25" s="5">
        <v>1585</v>
      </c>
      <c r="I25" s="4">
        <v>46174</v>
      </c>
      <c r="J25" t="s">
        <v>30</v>
      </c>
      <c r="K25" s="10">
        <v>6.5000000000000002E-2</v>
      </c>
      <c r="L25" s="10">
        <f t="shared" si="11"/>
        <v>6.5000000000000002E-2</v>
      </c>
      <c r="M25" s="8">
        <f t="shared" si="0"/>
        <v>6.4219178082191783</v>
      </c>
      <c r="N25">
        <f t="shared" si="1"/>
        <v>2026</v>
      </c>
      <c r="O25" s="8">
        <f t="shared" si="2"/>
        <v>10178.739726027397</v>
      </c>
      <c r="P25" s="9">
        <f t="shared" si="3"/>
        <v>103.02500000000001</v>
      </c>
      <c r="Q25" s="5">
        <f t="shared" si="4"/>
        <v>103.02500000000001</v>
      </c>
      <c r="R25" s="5">
        <f t="shared" si="5"/>
        <v>25.756250000000001</v>
      </c>
      <c r="S25" s="8">
        <f t="shared" si="6"/>
        <v>4.6580927852865361</v>
      </c>
      <c r="T25" s="7">
        <f t="shared" si="7"/>
        <v>6.4947068267823538E-2</v>
      </c>
    </row>
    <row r="26" spans="1:20" hidden="1" x14ac:dyDescent="0.25">
      <c r="A26" t="str">
        <f t="shared" si="8"/>
        <v>43830Secured Loan</v>
      </c>
      <c r="B26" t="str">
        <f t="shared" si="9"/>
        <v>43830Minerva</v>
      </c>
      <c r="C26" s="4">
        <v>43830</v>
      </c>
      <c r="D26" t="s">
        <v>20</v>
      </c>
      <c r="E26" t="s">
        <v>28</v>
      </c>
      <c r="F26" t="s">
        <v>39</v>
      </c>
      <c r="G26" t="s">
        <v>34</v>
      </c>
      <c r="H26" s="5">
        <v>1751</v>
      </c>
      <c r="I26" s="4">
        <v>46539</v>
      </c>
      <c r="J26" t="s">
        <v>30</v>
      </c>
      <c r="K26" s="10">
        <v>6.5000000000000002E-2</v>
      </c>
      <c r="L26" s="10">
        <f t="shared" si="11"/>
        <v>6.5000000000000002E-2</v>
      </c>
      <c r="M26" s="8">
        <f t="shared" si="0"/>
        <v>7.4219178082191783</v>
      </c>
      <c r="N26">
        <f t="shared" si="1"/>
        <v>2027</v>
      </c>
      <c r="O26" s="8">
        <f t="shared" si="2"/>
        <v>12995.77808219178</v>
      </c>
      <c r="P26" s="9">
        <f t="shared" si="3"/>
        <v>113.815</v>
      </c>
      <c r="Q26" s="5">
        <f t="shared" si="4"/>
        <v>113.815</v>
      </c>
      <c r="R26" s="5">
        <f t="shared" si="5"/>
        <v>28.453749999999999</v>
      </c>
      <c r="S26" s="8">
        <f t="shared" si="6"/>
        <v>4.6580927852865361</v>
      </c>
      <c r="T26" s="7">
        <f t="shared" si="7"/>
        <v>6.4947068267823538E-2</v>
      </c>
    </row>
    <row r="27" spans="1:20" hidden="1" x14ac:dyDescent="0.25">
      <c r="A27" t="str">
        <f t="shared" si="8"/>
        <v>43830Secured Loan</v>
      </c>
      <c r="B27" t="str">
        <f t="shared" si="9"/>
        <v>43830Minerva</v>
      </c>
      <c r="C27" s="4">
        <v>43830</v>
      </c>
      <c r="D27" t="s">
        <v>20</v>
      </c>
      <c r="E27" t="s">
        <v>28</v>
      </c>
      <c r="F27" t="s">
        <v>39</v>
      </c>
      <c r="G27" t="s">
        <v>34</v>
      </c>
      <c r="H27" s="5">
        <v>1773</v>
      </c>
      <c r="I27" s="4">
        <v>46905</v>
      </c>
      <c r="J27" t="s">
        <v>30</v>
      </c>
      <c r="K27" s="10">
        <v>6.5000000000000002E-2</v>
      </c>
      <c r="L27" s="10">
        <f t="shared" si="11"/>
        <v>6.5000000000000002E-2</v>
      </c>
      <c r="M27" s="8">
        <f t="shared" si="0"/>
        <v>8.4246575342465757</v>
      </c>
      <c r="N27">
        <f t="shared" si="1"/>
        <v>2028</v>
      </c>
      <c r="O27" s="8">
        <f t="shared" si="2"/>
        <v>14936.917808219179</v>
      </c>
      <c r="P27" s="9">
        <f t="shared" si="3"/>
        <v>115.245</v>
      </c>
      <c r="Q27" s="5">
        <f t="shared" si="4"/>
        <v>115.245</v>
      </c>
      <c r="R27" s="5">
        <f t="shared" si="5"/>
        <v>28.811250000000001</v>
      </c>
      <c r="S27" s="8">
        <f t="shared" si="6"/>
        <v>4.6580927852865361</v>
      </c>
      <c r="T27" s="7">
        <f t="shared" si="7"/>
        <v>6.4947068267823538E-2</v>
      </c>
    </row>
    <row r="28" spans="1:20" hidden="1" x14ac:dyDescent="0.25">
      <c r="A28" t="str">
        <f t="shared" si="8"/>
        <v>43830Secured Loan</v>
      </c>
      <c r="B28" t="str">
        <f t="shared" si="9"/>
        <v>43830Minerva</v>
      </c>
      <c r="C28" s="4">
        <v>43830</v>
      </c>
      <c r="D28" t="s">
        <v>20</v>
      </c>
      <c r="E28" t="s">
        <v>28</v>
      </c>
      <c r="F28" t="s">
        <v>39</v>
      </c>
      <c r="G28" t="s">
        <v>34</v>
      </c>
      <c r="H28" s="5">
        <v>797</v>
      </c>
      <c r="I28" s="4">
        <v>47270</v>
      </c>
      <c r="J28" t="s">
        <v>30</v>
      </c>
      <c r="K28" s="10">
        <v>6.5000000000000002E-2</v>
      </c>
      <c r="L28" s="10">
        <f t="shared" si="11"/>
        <v>6.5000000000000002E-2</v>
      </c>
      <c r="M28" s="8">
        <f t="shared" si="0"/>
        <v>9.4246575342465757</v>
      </c>
      <c r="N28">
        <f t="shared" si="1"/>
        <v>2029</v>
      </c>
      <c r="O28" s="8">
        <f t="shared" si="2"/>
        <v>7511.4520547945212</v>
      </c>
      <c r="P28" s="9">
        <f t="shared" si="3"/>
        <v>51.805</v>
      </c>
      <c r="Q28" s="5">
        <f t="shared" si="4"/>
        <v>51.805</v>
      </c>
      <c r="R28" s="5">
        <f t="shared" si="5"/>
        <v>12.95125</v>
      </c>
      <c r="S28" s="8">
        <f t="shared" si="6"/>
        <v>4.6580927852865361</v>
      </c>
      <c r="T28" s="7">
        <f t="shared" si="7"/>
        <v>6.4947068267823538E-2</v>
      </c>
    </row>
    <row r="29" spans="1:20" hidden="1" x14ac:dyDescent="0.25">
      <c r="A29" t="str">
        <f t="shared" si="8"/>
        <v>43830Outros</v>
      </c>
      <c r="B29" t="str">
        <f t="shared" si="9"/>
        <v>43830Minerva</v>
      </c>
      <c r="C29" s="4">
        <v>43830</v>
      </c>
      <c r="D29" t="s">
        <v>20</v>
      </c>
      <c r="E29" t="s">
        <v>28</v>
      </c>
      <c r="F29" t="s">
        <v>28</v>
      </c>
      <c r="G29" t="s">
        <v>34</v>
      </c>
      <c r="H29" s="5">
        <v>199549</v>
      </c>
      <c r="I29" s="4">
        <v>43983</v>
      </c>
      <c r="J29" t="s">
        <v>30</v>
      </c>
      <c r="K29" s="10">
        <v>6.5000000000000002E-2</v>
      </c>
      <c r="L29" s="10">
        <f t="shared" si="11"/>
        <v>6.5000000000000002E-2</v>
      </c>
      <c r="M29" s="8">
        <f t="shared" si="0"/>
        <v>0.41917808219178082</v>
      </c>
      <c r="N29">
        <f t="shared" si="1"/>
        <v>2020</v>
      </c>
      <c r="O29" s="8">
        <f t="shared" si="2"/>
        <v>83646.567123287678</v>
      </c>
      <c r="P29" s="9">
        <f t="shared" si="3"/>
        <v>12970.685000000001</v>
      </c>
      <c r="Q29" s="5">
        <f t="shared" si="4"/>
        <v>12970.685000000001</v>
      </c>
      <c r="R29" s="5">
        <f t="shared" si="5"/>
        <v>3242.6712500000003</v>
      </c>
      <c r="S29" s="8">
        <f t="shared" si="6"/>
        <v>4.6580927852865361</v>
      </c>
      <c r="T29" s="7">
        <f t="shared" si="7"/>
        <v>6.4947068267823538E-2</v>
      </c>
    </row>
    <row r="30" spans="1:20" hidden="1" x14ac:dyDescent="0.25">
      <c r="A30" t="str">
        <f t="shared" si="8"/>
        <v>43830Derivativos</v>
      </c>
      <c r="B30" t="str">
        <f t="shared" si="9"/>
        <v>43830Minerva</v>
      </c>
      <c r="C30" s="4">
        <v>43830</v>
      </c>
      <c r="D30" t="s">
        <v>20</v>
      </c>
      <c r="E30" t="s">
        <v>28</v>
      </c>
      <c r="F30" t="s">
        <v>40</v>
      </c>
      <c r="G30" t="s">
        <v>34</v>
      </c>
      <c r="H30" s="5">
        <v>34464</v>
      </c>
      <c r="I30" s="4">
        <v>43983</v>
      </c>
      <c r="J30" t="s">
        <v>30</v>
      </c>
      <c r="K30" s="10">
        <v>6.5000000000000002E-2</v>
      </c>
      <c r="L30" s="10">
        <f t="shared" si="11"/>
        <v>6.5000000000000002E-2</v>
      </c>
      <c r="M30" s="8">
        <f t="shared" si="0"/>
        <v>0.41917808219178082</v>
      </c>
      <c r="N30">
        <f t="shared" si="1"/>
        <v>2020</v>
      </c>
      <c r="O30" s="8">
        <f t="shared" si="2"/>
        <v>14446.553424657533</v>
      </c>
      <c r="P30" s="9">
        <f t="shared" si="3"/>
        <v>2240.16</v>
      </c>
      <c r="Q30" s="5">
        <f t="shared" si="4"/>
        <v>2240.16</v>
      </c>
      <c r="R30" s="5">
        <f t="shared" si="5"/>
        <v>560.04</v>
      </c>
      <c r="S30" s="8">
        <f t="shared" si="6"/>
        <v>4.6580927852865361</v>
      </c>
      <c r="T30" s="7">
        <f t="shared" si="7"/>
        <v>6.4947068267823538E-2</v>
      </c>
    </row>
    <row r="31" spans="1:20" hidden="1" x14ac:dyDescent="0.25">
      <c r="A31" t="str">
        <f t="shared" si="8"/>
        <v>43830Derivativos</v>
      </c>
      <c r="B31" t="str">
        <f t="shared" si="9"/>
        <v>43830Minerva</v>
      </c>
      <c r="C31" s="4">
        <v>43830</v>
      </c>
      <c r="D31" t="s">
        <v>20</v>
      </c>
      <c r="E31" t="s">
        <v>28</v>
      </c>
      <c r="F31" t="s">
        <v>40</v>
      </c>
      <c r="G31" t="s">
        <v>34</v>
      </c>
      <c r="H31" s="5">
        <v>1980</v>
      </c>
      <c r="I31" s="4">
        <v>44348</v>
      </c>
      <c r="J31" t="s">
        <v>30</v>
      </c>
      <c r="K31" s="10">
        <v>6.5000000000000002E-2</v>
      </c>
      <c r="L31" s="10">
        <f t="shared" si="11"/>
        <v>6.5000000000000002E-2</v>
      </c>
      <c r="M31" s="8">
        <f t="shared" si="0"/>
        <v>1.4191780821917808</v>
      </c>
      <c r="N31">
        <f t="shared" si="1"/>
        <v>2021</v>
      </c>
      <c r="O31" s="8">
        <f t="shared" si="2"/>
        <v>2809.972602739726</v>
      </c>
      <c r="P31" s="9">
        <f t="shared" si="3"/>
        <v>128.70000000000002</v>
      </c>
      <c r="Q31" s="5">
        <f t="shared" si="4"/>
        <v>128.70000000000002</v>
      </c>
      <c r="R31" s="5">
        <f t="shared" si="5"/>
        <v>32.175000000000004</v>
      </c>
      <c r="S31" s="8">
        <f t="shared" si="6"/>
        <v>4.6580927852865361</v>
      </c>
      <c r="T31" s="7">
        <f t="shared" si="7"/>
        <v>6.4947068267823538E-2</v>
      </c>
    </row>
    <row r="32" spans="1:20" hidden="1" x14ac:dyDescent="0.25">
      <c r="A32" t="str">
        <f t="shared" si="8"/>
        <v>43830Derivativos</v>
      </c>
      <c r="B32" t="str">
        <f t="shared" si="9"/>
        <v>43830Minerva</v>
      </c>
      <c r="C32" s="4">
        <v>43830</v>
      </c>
      <c r="D32" t="s">
        <v>20</v>
      </c>
      <c r="E32" t="s">
        <v>28</v>
      </c>
      <c r="F32" t="s">
        <v>40</v>
      </c>
      <c r="G32" t="s">
        <v>34</v>
      </c>
      <c r="H32" s="5">
        <v>6442</v>
      </c>
      <c r="I32" s="4">
        <v>44713</v>
      </c>
      <c r="J32" t="s">
        <v>30</v>
      </c>
      <c r="K32" s="10">
        <v>6.5000000000000002E-2</v>
      </c>
      <c r="L32" s="10">
        <f t="shared" si="11"/>
        <v>6.5000000000000002E-2</v>
      </c>
      <c r="M32" s="8">
        <f t="shared" si="0"/>
        <v>2.419178082191781</v>
      </c>
      <c r="N32">
        <f t="shared" si="1"/>
        <v>2022</v>
      </c>
      <c r="O32" s="8">
        <f t="shared" si="2"/>
        <v>15584.345205479452</v>
      </c>
      <c r="P32" s="9">
        <f t="shared" si="3"/>
        <v>418.73</v>
      </c>
      <c r="Q32" s="5">
        <f t="shared" si="4"/>
        <v>418.73</v>
      </c>
      <c r="R32" s="5">
        <f t="shared" si="5"/>
        <v>104.6825</v>
      </c>
      <c r="S32" s="8">
        <f t="shared" si="6"/>
        <v>4.6580927852865361</v>
      </c>
      <c r="T32" s="7">
        <f t="shared" si="7"/>
        <v>6.4947068267823538E-2</v>
      </c>
    </row>
    <row r="33" spans="1:22" hidden="1" x14ac:dyDescent="0.25">
      <c r="A33" t="str">
        <f t="shared" si="8"/>
        <v>43830Derivativos</v>
      </c>
      <c r="B33" t="str">
        <f t="shared" si="9"/>
        <v>43830Minerva</v>
      </c>
      <c r="C33" s="4">
        <v>43830</v>
      </c>
      <c r="D33" t="s">
        <v>20</v>
      </c>
      <c r="E33" t="s">
        <v>28</v>
      </c>
      <c r="F33" t="s">
        <v>40</v>
      </c>
      <c r="G33" t="s">
        <v>34</v>
      </c>
      <c r="H33" s="5">
        <v>8894</v>
      </c>
      <c r="I33" s="4">
        <v>45078</v>
      </c>
      <c r="J33" t="s">
        <v>30</v>
      </c>
      <c r="K33" s="10">
        <v>6.5000000000000002E-2</v>
      </c>
      <c r="L33" s="10">
        <f t="shared" si="11"/>
        <v>6.5000000000000002E-2</v>
      </c>
      <c r="M33" s="8">
        <f t="shared" si="0"/>
        <v>3.419178082191781</v>
      </c>
      <c r="N33">
        <f t="shared" si="1"/>
        <v>2023</v>
      </c>
      <c r="O33" s="8">
        <f t="shared" si="2"/>
        <v>30410.1698630137</v>
      </c>
      <c r="P33" s="9">
        <f t="shared" si="3"/>
        <v>578.11</v>
      </c>
      <c r="Q33" s="5">
        <f t="shared" si="4"/>
        <v>578.11</v>
      </c>
      <c r="R33" s="5">
        <f t="shared" si="5"/>
        <v>144.5275</v>
      </c>
      <c r="S33" s="8">
        <f t="shared" si="6"/>
        <v>4.6580927852865361</v>
      </c>
      <c r="T33" s="7">
        <f t="shared" si="7"/>
        <v>6.4947068267823538E-2</v>
      </c>
    </row>
    <row r="34" spans="1:22" hidden="1" x14ac:dyDescent="0.25">
      <c r="A34" t="str">
        <f t="shared" si="8"/>
        <v>43830Derivativos</v>
      </c>
      <c r="B34" t="str">
        <f t="shared" si="9"/>
        <v>43830Minerva</v>
      </c>
      <c r="C34" s="4">
        <v>43830</v>
      </c>
      <c r="D34" t="s">
        <v>20</v>
      </c>
      <c r="E34" t="s">
        <v>28</v>
      </c>
      <c r="F34" t="s">
        <v>40</v>
      </c>
      <c r="G34" t="s">
        <v>34</v>
      </c>
      <c r="H34" s="5">
        <v>-202635</v>
      </c>
      <c r="I34" s="4">
        <v>46174</v>
      </c>
      <c r="J34" t="s">
        <v>30</v>
      </c>
      <c r="K34" s="10">
        <v>6.5000000000000002E-2</v>
      </c>
      <c r="L34" s="10">
        <f t="shared" si="11"/>
        <v>6.5000000000000002E-2</v>
      </c>
      <c r="M34" s="8">
        <f t="shared" si="0"/>
        <v>6.4219178082191783</v>
      </c>
      <c r="N34">
        <f t="shared" si="1"/>
        <v>2026</v>
      </c>
      <c r="O34" s="8">
        <f t="shared" si="2"/>
        <v>-1301305.3150684931</v>
      </c>
      <c r="P34" s="9">
        <f t="shared" si="3"/>
        <v>-13171.275</v>
      </c>
      <c r="Q34" s="5">
        <f t="shared" si="4"/>
        <v>-13171.275</v>
      </c>
      <c r="R34" s="5">
        <f t="shared" si="5"/>
        <v>-3292.8187499999999</v>
      </c>
      <c r="S34" s="8">
        <f t="shared" si="6"/>
        <v>4.6580927852865361</v>
      </c>
      <c r="T34" s="7">
        <f t="shared" si="7"/>
        <v>6.4947068267823538E-2</v>
      </c>
    </row>
    <row r="35" spans="1:22" hidden="1" x14ac:dyDescent="0.25">
      <c r="A35" t="str">
        <f t="shared" si="8"/>
        <v>43830Derivativos</v>
      </c>
      <c r="B35" t="str">
        <f t="shared" si="9"/>
        <v>43830Minerva</v>
      </c>
      <c r="C35" s="4">
        <v>43830</v>
      </c>
      <c r="D35" t="s">
        <v>20</v>
      </c>
      <c r="E35" t="s">
        <v>28</v>
      </c>
      <c r="F35" t="s">
        <v>40</v>
      </c>
      <c r="G35" t="s">
        <v>34</v>
      </c>
      <c r="H35" s="5">
        <v>-158255</v>
      </c>
      <c r="I35" s="4">
        <v>46174</v>
      </c>
      <c r="J35" t="s">
        <v>30</v>
      </c>
      <c r="K35" s="10">
        <v>6.5000000000000002E-2</v>
      </c>
      <c r="L35" s="10">
        <f t="shared" si="11"/>
        <v>6.5000000000000002E-2</v>
      </c>
      <c r="M35" s="8">
        <f t="shared" si="0"/>
        <v>6.4219178082191783</v>
      </c>
      <c r="N35">
        <f t="shared" si="1"/>
        <v>2026</v>
      </c>
      <c r="O35" s="8">
        <f t="shared" si="2"/>
        <v>-1016300.6027397261</v>
      </c>
      <c r="P35" s="9">
        <f t="shared" si="3"/>
        <v>-10286.575000000001</v>
      </c>
      <c r="Q35" s="5">
        <f t="shared" si="4"/>
        <v>-10286.575000000001</v>
      </c>
      <c r="R35" s="5">
        <f t="shared" si="5"/>
        <v>-2571.6437500000002</v>
      </c>
      <c r="S35" s="8">
        <f t="shared" si="6"/>
        <v>4.6580927852865361</v>
      </c>
      <c r="T35" s="7">
        <f t="shared" si="7"/>
        <v>6.4947068267823538E-2</v>
      </c>
    </row>
    <row r="36" spans="1:22" hidden="1" x14ac:dyDescent="0.25">
      <c r="A36" t="str">
        <f t="shared" si="8"/>
        <v>43830Derivativos</v>
      </c>
      <c r="B36" t="str">
        <f t="shared" si="9"/>
        <v>43830Minerva</v>
      </c>
      <c r="C36" s="4">
        <v>43830</v>
      </c>
      <c r="D36" t="s">
        <v>20</v>
      </c>
      <c r="E36" t="s">
        <v>28</v>
      </c>
      <c r="F36" t="s">
        <v>40</v>
      </c>
      <c r="G36" t="s">
        <v>34</v>
      </c>
      <c r="H36" s="5">
        <v>-109470</v>
      </c>
      <c r="I36" s="4">
        <v>46174</v>
      </c>
      <c r="J36" t="s">
        <v>30</v>
      </c>
      <c r="K36" s="10">
        <v>6.5000000000000002E-2</v>
      </c>
      <c r="L36" s="10">
        <f t="shared" si="11"/>
        <v>6.5000000000000002E-2</v>
      </c>
      <c r="M36" s="8">
        <f t="shared" si="0"/>
        <v>6.4219178082191783</v>
      </c>
      <c r="N36">
        <f t="shared" si="1"/>
        <v>2026</v>
      </c>
      <c r="O36" s="8">
        <f t="shared" si="2"/>
        <v>-703007.34246575343</v>
      </c>
      <c r="P36" s="9">
        <f t="shared" si="3"/>
        <v>-7115.55</v>
      </c>
      <c r="Q36" s="5">
        <f t="shared" si="4"/>
        <v>-7115.55</v>
      </c>
      <c r="R36" s="5">
        <f t="shared" si="5"/>
        <v>-1778.8875</v>
      </c>
      <c r="S36" s="8">
        <f t="shared" si="6"/>
        <v>4.6580927852865361</v>
      </c>
      <c r="T36" s="7">
        <f t="shared" si="7"/>
        <v>6.4947068267823538E-2</v>
      </c>
    </row>
    <row r="37" spans="1:22" hidden="1" x14ac:dyDescent="0.25">
      <c r="A37" t="str">
        <f t="shared" si="8"/>
        <v>43830Derivativos</v>
      </c>
      <c r="B37" t="str">
        <f t="shared" si="9"/>
        <v>43830Minerva</v>
      </c>
      <c r="C37" s="4">
        <v>43830</v>
      </c>
      <c r="D37" t="s">
        <v>20</v>
      </c>
      <c r="E37" t="s">
        <v>28</v>
      </c>
      <c r="F37" t="s">
        <v>40</v>
      </c>
      <c r="G37" t="s">
        <v>34</v>
      </c>
      <c r="H37" s="5">
        <v>-253398</v>
      </c>
      <c r="I37" s="4">
        <v>46174</v>
      </c>
      <c r="J37" t="s">
        <v>30</v>
      </c>
      <c r="K37" s="10">
        <v>6.5000000000000002E-2</v>
      </c>
      <c r="L37" s="10">
        <f t="shared" si="11"/>
        <v>6.5000000000000002E-2</v>
      </c>
      <c r="M37" s="8">
        <f t="shared" si="0"/>
        <v>6.4219178082191783</v>
      </c>
      <c r="N37">
        <f t="shared" si="1"/>
        <v>2026</v>
      </c>
      <c r="O37" s="8">
        <f t="shared" si="2"/>
        <v>-1627301.1287671234</v>
      </c>
      <c r="P37" s="9">
        <f t="shared" si="3"/>
        <v>-16470.87</v>
      </c>
      <c r="Q37" s="5">
        <f t="shared" si="4"/>
        <v>-16470.87</v>
      </c>
      <c r="R37" s="5">
        <f t="shared" si="5"/>
        <v>-4117.7174999999997</v>
      </c>
      <c r="S37" s="8">
        <f t="shared" si="6"/>
        <v>4.6580927852865361</v>
      </c>
      <c r="T37" s="7">
        <f t="shared" si="7"/>
        <v>6.4947068267823538E-2</v>
      </c>
    </row>
    <row r="38" spans="1:22" hidden="1" x14ac:dyDescent="0.25">
      <c r="A38" t="str">
        <f t="shared" si="8"/>
        <v/>
      </c>
      <c r="B38" t="str">
        <f t="shared" si="9"/>
        <v/>
      </c>
      <c r="H38" s="5"/>
      <c r="L38" s="7"/>
      <c r="O38" s="8"/>
      <c r="P38" s="9"/>
      <c r="S38" s="11"/>
      <c r="T38" s="11"/>
      <c r="U38" s="5"/>
      <c r="V38" s="8"/>
    </row>
    <row r="39" spans="1:22" s="22" customFormat="1" x14ac:dyDescent="0.25">
      <c r="A39" s="22" t="str">
        <f t="shared" si="8"/>
        <v>43921Debênture 2020</v>
      </c>
      <c r="B39" s="22" t="str">
        <f t="shared" si="9"/>
        <v>43921Minerva</v>
      </c>
      <c r="C39" s="23">
        <v>43921</v>
      </c>
      <c r="D39" s="22" t="s">
        <v>20</v>
      </c>
      <c r="E39" s="22" t="s">
        <v>21</v>
      </c>
      <c r="F39" s="22" t="s">
        <v>22</v>
      </c>
      <c r="G39" s="22" t="s">
        <v>23</v>
      </c>
      <c r="H39" s="24">
        <v>357432</v>
      </c>
      <c r="I39" s="23">
        <v>44106</v>
      </c>
      <c r="J39" s="22" t="s">
        <v>24</v>
      </c>
      <c r="K39" s="25">
        <v>1.0549999999999999</v>
      </c>
      <c r="L39" s="25">
        <f>K39*2.15%</f>
        <v>2.2682499999999998E-2</v>
      </c>
      <c r="M39" s="26">
        <f t="shared" ref="M39:M66" si="12">(I39-C39)/365</f>
        <v>0.50684931506849318</v>
      </c>
      <c r="N39" s="22">
        <f t="shared" ref="N39:N66" si="13">YEAR(I39)</f>
        <v>2020</v>
      </c>
      <c r="O39" s="26">
        <f t="shared" ref="O39:O66" si="14">M39*H39</f>
        <v>181164.16438356164</v>
      </c>
      <c r="P39" s="27">
        <f t="shared" ref="P39:P66" si="15">L39*H39</f>
        <v>8107.4513399999996</v>
      </c>
      <c r="Q39" s="24">
        <f>H39*L39</f>
        <v>8107.4513399999996</v>
      </c>
      <c r="R39" s="24">
        <f>Q39/4</f>
        <v>2026.8628349999999</v>
      </c>
      <c r="S39" s="26">
        <f>SUMIFS($O:$O,$C:$C,$C39,$D:$D,D39)/SUMIFS($H:$H,$C:$C,$C39,$D:$D,D39)</f>
        <v>5.5336276947430845</v>
      </c>
      <c r="T39" s="28">
        <f t="shared" ref="T39:T68" si="16">SUMIFS($P:$P,$C:$C,$C39,$D:$D,D39)/SUMIFS($H:$H,$C:$C,$C39,$D:$D,D39)</f>
        <v>6.7264980703746577E-2</v>
      </c>
      <c r="U39" s="24"/>
      <c r="V39" s="26"/>
    </row>
    <row r="40" spans="1:22" x14ac:dyDescent="0.25">
      <c r="A40" t="str">
        <f t="shared" si="8"/>
        <v>43921Debênture 2022</v>
      </c>
      <c r="B40" t="str">
        <f t="shared" si="9"/>
        <v>43921Minerva</v>
      </c>
      <c r="C40" s="4">
        <v>43921</v>
      </c>
      <c r="D40" t="s">
        <v>20</v>
      </c>
      <c r="E40" t="s">
        <v>21</v>
      </c>
      <c r="F40" t="s">
        <v>41</v>
      </c>
      <c r="G40" t="s">
        <v>23</v>
      </c>
      <c r="H40" s="5">
        <v>404829</v>
      </c>
      <c r="I40" s="4">
        <v>44696</v>
      </c>
      <c r="J40" t="s">
        <v>24</v>
      </c>
      <c r="K40" s="10">
        <v>1.7999999999999999E-2</v>
      </c>
      <c r="L40" s="10">
        <f>K40+2.15%</f>
        <v>3.9499999999999993E-2</v>
      </c>
      <c r="M40" s="8">
        <f>(I40-C40)/365</f>
        <v>2.1232876712328768</v>
      </c>
      <c r="N40">
        <f t="shared" si="13"/>
        <v>2022</v>
      </c>
      <c r="O40" s="8">
        <f>M40*H40</f>
        <v>859568.42465753423</v>
      </c>
      <c r="P40" s="9">
        <f>L40*H40</f>
        <v>15990.745499999997</v>
      </c>
      <c r="Q40" s="5">
        <f>H40*L40</f>
        <v>15990.745499999997</v>
      </c>
      <c r="R40" s="5">
        <f>Q40/4</f>
        <v>3997.6863749999993</v>
      </c>
      <c r="S40" s="8">
        <f>SUMIFS($O:$O,$C:$C,$C40,$D:$D,D40)/SUMIFS($H:$H,$C:$C,$C40,$D:$D,D40)</f>
        <v>5.5336276947430845</v>
      </c>
      <c r="T40" s="7">
        <f>SUMIFS($P:$P,$C:$C,$C40,$D:$D,D40)/SUMIFS($H:$H,$C:$C,$C40,$D:$D,D40)</f>
        <v>6.7264980703746577E-2</v>
      </c>
      <c r="U40" s="5"/>
      <c r="V40" s="8"/>
    </row>
    <row r="41" spans="1:22" x14ac:dyDescent="0.25">
      <c r="A41" t="str">
        <f t="shared" si="8"/>
        <v xml:space="preserve">43921Debênture </v>
      </c>
      <c r="B41" t="str">
        <f t="shared" si="9"/>
        <v>43921Minerva</v>
      </c>
      <c r="C41" s="4">
        <v>43921</v>
      </c>
      <c r="D41" t="s">
        <v>20</v>
      </c>
      <c r="E41" t="s">
        <v>21</v>
      </c>
      <c r="F41" t="s">
        <v>26</v>
      </c>
      <c r="G41" t="s">
        <v>23</v>
      </c>
      <c r="H41" s="5">
        <v>503071</v>
      </c>
      <c r="I41" s="4">
        <v>45427</v>
      </c>
      <c r="J41" t="s">
        <v>27</v>
      </c>
      <c r="K41" s="10">
        <v>4.4999999999999998E-2</v>
      </c>
      <c r="L41" s="10">
        <v>6.5000000000000002E-2</v>
      </c>
      <c r="M41" s="8">
        <f t="shared" si="12"/>
        <v>4.1260273972602741</v>
      </c>
      <c r="N41">
        <f t="shared" si="13"/>
        <v>2024</v>
      </c>
      <c r="O41" s="8">
        <f t="shared" si="14"/>
        <v>2075684.7287671233</v>
      </c>
      <c r="P41" s="9">
        <f t="shared" si="15"/>
        <v>32699.615000000002</v>
      </c>
      <c r="Q41" s="5">
        <f t="shared" ref="Q41:Q66" si="17">H41*L41</f>
        <v>32699.615000000002</v>
      </c>
      <c r="R41" s="5">
        <f t="shared" ref="R41:R66" si="18">Q41/4</f>
        <v>8174.9037500000004</v>
      </c>
      <c r="S41" s="8">
        <f t="shared" ref="S41:S68" si="19">SUMIFS($O:$O,$C:$C,$C41,$D:$D,D41)/SUMIFS($H:$H,$C:$C,$C41,$D:$D,D41)</f>
        <v>5.5336276947430845</v>
      </c>
      <c r="T41" s="7">
        <f t="shared" si="16"/>
        <v>6.7264980703746577E-2</v>
      </c>
      <c r="U41" s="5"/>
      <c r="V41" s="8"/>
    </row>
    <row r="42" spans="1:22" s="30" customFormat="1" x14ac:dyDescent="0.25">
      <c r="A42" s="30" t="str">
        <f t="shared" si="8"/>
        <v>43921CCB</v>
      </c>
      <c r="B42" s="30" t="str">
        <f t="shared" si="9"/>
        <v>43921Minerva</v>
      </c>
      <c r="C42" s="31">
        <v>43921</v>
      </c>
      <c r="D42" s="30" t="s">
        <v>20</v>
      </c>
      <c r="E42" s="30" t="s">
        <v>28</v>
      </c>
      <c r="F42" s="30" t="s">
        <v>29</v>
      </c>
      <c r="G42" s="30" t="s">
        <v>23</v>
      </c>
      <c r="H42" s="5">
        <v>25251</v>
      </c>
      <c r="I42" s="31">
        <v>43983</v>
      </c>
      <c r="J42" s="30" t="s">
        <v>30</v>
      </c>
      <c r="K42" s="32">
        <v>8.3500000000000005E-2</v>
      </c>
      <c r="L42" s="32">
        <f>K42</f>
        <v>8.3500000000000005E-2</v>
      </c>
      <c r="M42" s="8">
        <f t="shared" si="12"/>
        <v>0.16986301369863013</v>
      </c>
      <c r="N42" s="30">
        <f t="shared" si="13"/>
        <v>2020</v>
      </c>
      <c r="O42" s="8">
        <f t="shared" si="14"/>
        <v>4289.2109589041092</v>
      </c>
      <c r="P42" s="33">
        <f t="shared" si="15"/>
        <v>2108.4585000000002</v>
      </c>
      <c r="Q42" s="5">
        <f t="shared" si="17"/>
        <v>2108.4585000000002</v>
      </c>
      <c r="R42" s="5">
        <f t="shared" si="18"/>
        <v>527.11462500000005</v>
      </c>
      <c r="S42" s="8">
        <f t="shared" si="19"/>
        <v>5.5336276947430845</v>
      </c>
      <c r="T42" s="7">
        <f t="shared" si="16"/>
        <v>6.7264980703746577E-2</v>
      </c>
      <c r="U42" s="5"/>
      <c r="V42" s="8"/>
    </row>
    <row r="43" spans="1:22" s="30" customFormat="1" x14ac:dyDescent="0.25">
      <c r="A43" s="30" t="str">
        <f t="shared" si="8"/>
        <v>43921CCB</v>
      </c>
      <c r="B43" s="30" t="str">
        <f t="shared" si="9"/>
        <v>43921Minerva</v>
      </c>
      <c r="C43" s="31">
        <v>43921</v>
      </c>
      <c r="D43" s="30" t="s">
        <v>20</v>
      </c>
      <c r="E43" s="30" t="s">
        <v>28</v>
      </c>
      <c r="F43" s="30" t="s">
        <v>29</v>
      </c>
      <c r="G43" s="30" t="s">
        <v>23</v>
      </c>
      <c r="H43" s="5">
        <v>50000</v>
      </c>
      <c r="I43" s="31">
        <v>44348</v>
      </c>
      <c r="J43" s="30" t="s">
        <v>30</v>
      </c>
      <c r="K43" s="32">
        <v>8.3500000000000005E-2</v>
      </c>
      <c r="L43" s="32">
        <f>K43</f>
        <v>8.3500000000000005E-2</v>
      </c>
      <c r="M43" s="8">
        <f t="shared" si="12"/>
        <v>1.1698630136986301</v>
      </c>
      <c r="N43" s="30">
        <f t="shared" si="13"/>
        <v>2021</v>
      </c>
      <c r="O43" s="8">
        <f t="shared" si="14"/>
        <v>58493.150684931505</v>
      </c>
      <c r="P43" s="33">
        <f t="shared" si="15"/>
        <v>4175</v>
      </c>
      <c r="Q43" s="5">
        <f t="shared" si="17"/>
        <v>4175</v>
      </c>
      <c r="R43" s="5">
        <f t="shared" si="18"/>
        <v>1043.75</v>
      </c>
      <c r="S43" s="8">
        <f t="shared" si="19"/>
        <v>5.5336276947430845</v>
      </c>
      <c r="T43" s="7">
        <f t="shared" si="16"/>
        <v>6.7264980703746577E-2</v>
      </c>
      <c r="U43" s="5"/>
      <c r="V43" s="8"/>
    </row>
    <row r="44" spans="1:22" s="15" customFormat="1" x14ac:dyDescent="0.25">
      <c r="A44" s="15" t="str">
        <f t="shared" si="8"/>
        <v>43921NCE</v>
      </c>
      <c r="B44" s="15" t="str">
        <f t="shared" si="9"/>
        <v>43921Minerva</v>
      </c>
      <c r="C44" s="16">
        <v>43921</v>
      </c>
      <c r="D44" s="15" t="s">
        <v>20</v>
      </c>
      <c r="E44" s="15" t="s">
        <v>31</v>
      </c>
      <c r="F44" s="15" t="s">
        <v>31</v>
      </c>
      <c r="G44" s="15" t="s">
        <v>23</v>
      </c>
      <c r="H44" s="17">
        <f>578864-H45</f>
        <v>476197</v>
      </c>
      <c r="I44" s="16">
        <v>43983</v>
      </c>
      <c r="J44" s="15" t="s">
        <v>24</v>
      </c>
      <c r="K44" s="21">
        <v>0.03</v>
      </c>
      <c r="L44" s="18">
        <v>0.09</v>
      </c>
      <c r="M44" s="19">
        <f t="shared" si="12"/>
        <v>0.16986301369863013</v>
      </c>
      <c r="N44" s="15">
        <f t="shared" si="13"/>
        <v>2020</v>
      </c>
      <c r="O44" s="19">
        <f t="shared" si="14"/>
        <v>80888.257534246572</v>
      </c>
      <c r="P44" s="20">
        <f t="shared" si="15"/>
        <v>42857.729999999996</v>
      </c>
      <c r="Q44" s="17">
        <f t="shared" si="17"/>
        <v>42857.729999999996</v>
      </c>
      <c r="R44" s="17">
        <f t="shared" si="18"/>
        <v>10714.432499999999</v>
      </c>
      <c r="S44" s="19">
        <f t="shared" si="19"/>
        <v>5.5336276947430845</v>
      </c>
      <c r="T44" s="18">
        <f t="shared" si="16"/>
        <v>6.7264980703746577E-2</v>
      </c>
      <c r="U44" s="17"/>
      <c r="V44" s="19"/>
    </row>
    <row r="45" spans="1:22" s="15" customFormat="1" x14ac:dyDescent="0.25">
      <c r="A45" s="15" t="str">
        <f t="shared" si="8"/>
        <v>43921NCE</v>
      </c>
      <c r="B45" s="15" t="str">
        <f t="shared" si="9"/>
        <v>43921Minerva</v>
      </c>
      <c r="C45" s="16">
        <v>43921</v>
      </c>
      <c r="D45" s="15" t="s">
        <v>20</v>
      </c>
      <c r="E45" s="15" t="s">
        <v>31</v>
      </c>
      <c r="F45" s="15" t="s">
        <v>31</v>
      </c>
      <c r="G45" s="15" t="s">
        <v>23</v>
      </c>
      <c r="H45" s="17">
        <v>102667</v>
      </c>
      <c r="I45" s="16">
        <v>44348</v>
      </c>
      <c r="J45" s="15" t="s">
        <v>24</v>
      </c>
      <c r="K45" s="21">
        <v>0.03</v>
      </c>
      <c r="L45" s="18">
        <v>0.09</v>
      </c>
      <c r="M45" s="19">
        <f t="shared" si="12"/>
        <v>1.1698630136986301</v>
      </c>
      <c r="N45" s="15">
        <f t="shared" si="13"/>
        <v>2021</v>
      </c>
      <c r="O45" s="19">
        <f t="shared" si="14"/>
        <v>120106.32602739726</v>
      </c>
      <c r="P45" s="20">
        <f t="shared" si="15"/>
        <v>9240.0299999999988</v>
      </c>
      <c r="Q45" s="17">
        <f t="shared" si="17"/>
        <v>9240.0299999999988</v>
      </c>
      <c r="R45" s="17">
        <f t="shared" si="18"/>
        <v>2310.0074999999997</v>
      </c>
      <c r="S45" s="19">
        <f t="shared" si="19"/>
        <v>5.5336276947430845</v>
      </c>
      <c r="T45" s="18">
        <f t="shared" si="16"/>
        <v>6.7264980703746577E-2</v>
      </c>
      <c r="U45" s="17"/>
      <c r="V45" s="19"/>
    </row>
    <row r="46" spans="1:22" x14ac:dyDescent="0.25">
      <c r="A46" t="str">
        <f t="shared" si="8"/>
        <v>43921IFC</v>
      </c>
      <c r="B46" t="str">
        <f t="shared" si="9"/>
        <v>43921Minerva</v>
      </c>
      <c r="C46" s="4">
        <v>43921</v>
      </c>
      <c r="D46" t="s">
        <v>20</v>
      </c>
      <c r="E46" t="s">
        <v>28</v>
      </c>
      <c r="F46" t="s">
        <v>32</v>
      </c>
      <c r="G46" t="s">
        <v>23</v>
      </c>
      <c r="H46" s="5">
        <v>17215</v>
      </c>
      <c r="I46" s="4">
        <v>44301</v>
      </c>
      <c r="J46" t="s">
        <v>24</v>
      </c>
      <c r="K46" s="10">
        <v>2.35E-2</v>
      </c>
      <c r="L46" s="7">
        <v>7.0000000000000007E-2</v>
      </c>
      <c r="M46" s="8">
        <f t="shared" si="12"/>
        <v>1.0410958904109588</v>
      </c>
      <c r="N46">
        <f t="shared" si="13"/>
        <v>2021</v>
      </c>
      <c r="O46" s="8">
        <f t="shared" si="14"/>
        <v>17922.465753424658</v>
      </c>
      <c r="P46" s="9">
        <f t="shared" si="15"/>
        <v>1205.0500000000002</v>
      </c>
      <c r="Q46" s="5">
        <f t="shared" si="17"/>
        <v>1205.0500000000002</v>
      </c>
      <c r="R46" s="5">
        <f t="shared" si="18"/>
        <v>301.26250000000005</v>
      </c>
      <c r="S46" s="8">
        <f t="shared" si="19"/>
        <v>5.5336276947430845</v>
      </c>
      <c r="T46" s="7">
        <f t="shared" si="16"/>
        <v>6.7264980703746577E-2</v>
      </c>
      <c r="U46" s="5"/>
      <c r="V46" s="8"/>
    </row>
    <row r="47" spans="1:22" x14ac:dyDescent="0.25">
      <c r="A47" t="str">
        <f t="shared" si="8"/>
        <v>43921IFC</v>
      </c>
      <c r="B47" t="str">
        <f t="shared" si="9"/>
        <v>43921Minerva</v>
      </c>
      <c r="C47" s="4">
        <v>43921</v>
      </c>
      <c r="D47" t="s">
        <v>20</v>
      </c>
      <c r="E47" t="s">
        <v>28</v>
      </c>
      <c r="F47" t="s">
        <v>32</v>
      </c>
      <c r="G47" t="s">
        <v>23</v>
      </c>
      <c r="H47" s="5">
        <v>17215</v>
      </c>
      <c r="I47" s="4">
        <v>44666</v>
      </c>
      <c r="J47" t="s">
        <v>24</v>
      </c>
      <c r="K47" s="10">
        <v>2.35E-2</v>
      </c>
      <c r="L47" s="7">
        <v>7.0000000000000007E-2</v>
      </c>
      <c r="M47" s="8">
        <f t="shared" si="12"/>
        <v>2.0410958904109591</v>
      </c>
      <c r="N47">
        <f t="shared" si="13"/>
        <v>2022</v>
      </c>
      <c r="O47" s="8">
        <f t="shared" si="14"/>
        <v>35137.465753424658</v>
      </c>
      <c r="P47" s="9">
        <f t="shared" si="15"/>
        <v>1205.0500000000002</v>
      </c>
      <c r="Q47" s="5">
        <f t="shared" si="17"/>
        <v>1205.0500000000002</v>
      </c>
      <c r="R47" s="5">
        <f t="shared" si="18"/>
        <v>301.26250000000005</v>
      </c>
      <c r="S47" s="8">
        <f t="shared" si="19"/>
        <v>5.5336276947430845</v>
      </c>
      <c r="T47" s="7">
        <f t="shared" si="16"/>
        <v>6.7264980703746577E-2</v>
      </c>
      <c r="U47" s="5"/>
      <c r="V47" s="8"/>
    </row>
    <row r="48" spans="1:22" x14ac:dyDescent="0.25">
      <c r="A48" t="str">
        <f t="shared" si="8"/>
        <v>43921IFC</v>
      </c>
      <c r="B48" t="str">
        <f t="shared" si="9"/>
        <v>43921Minerva</v>
      </c>
      <c r="C48" s="4">
        <v>43921</v>
      </c>
      <c r="D48" t="s">
        <v>20</v>
      </c>
      <c r="E48" t="s">
        <v>28</v>
      </c>
      <c r="F48" t="s">
        <v>32</v>
      </c>
      <c r="G48" t="s">
        <v>23</v>
      </c>
      <c r="H48" s="5">
        <v>26792</v>
      </c>
      <c r="I48" s="4">
        <v>45031</v>
      </c>
      <c r="J48" t="s">
        <v>24</v>
      </c>
      <c r="K48" s="10">
        <v>2.35E-2</v>
      </c>
      <c r="L48" s="7">
        <v>7.0000000000000007E-2</v>
      </c>
      <c r="M48" s="8">
        <f t="shared" si="12"/>
        <v>3.0410958904109591</v>
      </c>
      <c r="N48">
        <f t="shared" si="13"/>
        <v>2023</v>
      </c>
      <c r="O48" s="8">
        <f t="shared" si="14"/>
        <v>81477.04109589041</v>
      </c>
      <c r="P48" s="9">
        <f t="shared" si="15"/>
        <v>1875.4400000000003</v>
      </c>
      <c r="Q48" s="5">
        <f t="shared" si="17"/>
        <v>1875.4400000000003</v>
      </c>
      <c r="R48" s="5">
        <f t="shared" si="18"/>
        <v>468.86000000000007</v>
      </c>
      <c r="S48" s="8">
        <f t="shared" si="19"/>
        <v>5.5336276947430845</v>
      </c>
      <c r="T48" s="7">
        <f t="shared" si="16"/>
        <v>6.7264980703746577E-2</v>
      </c>
      <c r="U48" s="5"/>
      <c r="V48" s="8"/>
    </row>
    <row r="49" spans="1:22" x14ac:dyDescent="0.25">
      <c r="A49" t="str">
        <f t="shared" si="8"/>
        <v>43921ACC</v>
      </c>
      <c r="B49" t="str">
        <f t="shared" si="9"/>
        <v>43921Minerva</v>
      </c>
      <c r="C49" s="4">
        <v>43921</v>
      </c>
      <c r="D49" t="s">
        <v>20</v>
      </c>
      <c r="E49" t="s">
        <v>33</v>
      </c>
      <c r="F49" t="s">
        <v>33</v>
      </c>
      <c r="G49" t="s">
        <v>34</v>
      </c>
      <c r="H49" s="5">
        <v>1001974</v>
      </c>
      <c r="I49" s="4">
        <v>44166</v>
      </c>
      <c r="J49" t="s">
        <v>30</v>
      </c>
      <c r="K49" s="10">
        <v>5.5E-2</v>
      </c>
      <c r="L49" s="10">
        <f>K49</f>
        <v>5.5E-2</v>
      </c>
      <c r="M49" s="8">
        <f t="shared" si="12"/>
        <v>0.67123287671232879</v>
      </c>
      <c r="N49">
        <f t="shared" si="13"/>
        <v>2020</v>
      </c>
      <c r="O49" s="8">
        <f t="shared" si="14"/>
        <v>672557.89041095891</v>
      </c>
      <c r="P49" s="9">
        <f t="shared" si="15"/>
        <v>55108.57</v>
      </c>
      <c r="Q49" s="5">
        <f t="shared" si="17"/>
        <v>55108.57</v>
      </c>
      <c r="R49" s="5">
        <f t="shared" si="18"/>
        <v>13777.1425</v>
      </c>
      <c r="S49" s="8">
        <f t="shared" si="19"/>
        <v>5.5336276947430845</v>
      </c>
      <c r="T49" s="7">
        <f t="shared" si="16"/>
        <v>6.7264980703746577E-2</v>
      </c>
      <c r="U49" s="5"/>
      <c r="V49" s="8"/>
    </row>
    <row r="50" spans="1:22" x14ac:dyDescent="0.25">
      <c r="A50" t="str">
        <f t="shared" si="8"/>
        <v>43921Bond</v>
      </c>
      <c r="B50" t="str">
        <f t="shared" si="9"/>
        <v>43921Minerva</v>
      </c>
      <c r="C50" s="4">
        <v>43921</v>
      </c>
      <c r="D50" t="s">
        <v>20</v>
      </c>
      <c r="E50" t="s">
        <v>35</v>
      </c>
      <c r="F50" t="s">
        <v>35</v>
      </c>
      <c r="G50" t="s">
        <v>34</v>
      </c>
      <c r="H50" s="5">
        <f>8481333-H51-H52</f>
        <v>68404.499999999534</v>
      </c>
      <c r="I50" s="4">
        <v>44002</v>
      </c>
      <c r="J50" t="s">
        <v>30</v>
      </c>
      <c r="K50" s="10">
        <v>6.5000000000000002E-2</v>
      </c>
      <c r="L50" s="10">
        <f t="shared" ref="L50:L52" si="20">K50</f>
        <v>6.5000000000000002E-2</v>
      </c>
      <c r="M50" s="8">
        <f t="shared" si="12"/>
        <v>0.22191780821917809</v>
      </c>
      <c r="N50">
        <f t="shared" si="13"/>
        <v>2020</v>
      </c>
      <c r="O50" s="8">
        <f t="shared" si="14"/>
        <v>15180.176712328665</v>
      </c>
      <c r="P50" s="9">
        <f t="shared" si="15"/>
        <v>4446.2924999999696</v>
      </c>
      <c r="Q50" s="5">
        <f t="shared" si="17"/>
        <v>4446.2924999999696</v>
      </c>
      <c r="R50" s="5">
        <f t="shared" si="18"/>
        <v>1111.5731249999924</v>
      </c>
      <c r="S50" s="8">
        <f t="shared" si="19"/>
        <v>5.5336276947430845</v>
      </c>
      <c r="T50" s="7">
        <f t="shared" si="16"/>
        <v>6.7264980703746577E-2</v>
      </c>
      <c r="U50" s="5"/>
      <c r="V50" s="8"/>
    </row>
    <row r="51" spans="1:22" x14ac:dyDescent="0.25">
      <c r="A51" t="str">
        <f t="shared" si="8"/>
        <v>43921Bond</v>
      </c>
      <c r="B51" t="str">
        <f t="shared" si="9"/>
        <v>43921Minerva</v>
      </c>
      <c r="C51" s="4">
        <v>43921</v>
      </c>
      <c r="D51" t="s">
        <v>20</v>
      </c>
      <c r="E51" t="s">
        <v>35</v>
      </c>
      <c r="F51" t="s">
        <v>35</v>
      </c>
      <c r="G51" t="s">
        <v>34</v>
      </c>
      <c r="H51" s="5">
        <v>6129067.3500000006</v>
      </c>
      <c r="I51" s="4">
        <v>46285</v>
      </c>
      <c r="J51" t="s">
        <v>30</v>
      </c>
      <c r="K51" s="10">
        <v>6.5000000000000002E-2</v>
      </c>
      <c r="L51" s="10">
        <f t="shared" si="20"/>
        <v>6.5000000000000002E-2</v>
      </c>
      <c r="M51" s="8">
        <f t="shared" si="12"/>
        <v>6.4767123287671229</v>
      </c>
      <c r="N51">
        <f t="shared" si="13"/>
        <v>2026</v>
      </c>
      <c r="O51" s="8">
        <f t="shared" si="14"/>
        <v>39696206.069589041</v>
      </c>
      <c r="P51" s="9">
        <f t="shared" si="15"/>
        <v>398389.37775000004</v>
      </c>
      <c r="Q51" s="5">
        <f t="shared" si="17"/>
        <v>398389.37775000004</v>
      </c>
      <c r="R51" s="5">
        <f t="shared" si="18"/>
        <v>99597.344437500011</v>
      </c>
      <c r="S51" s="8">
        <f t="shared" si="19"/>
        <v>5.5336276947430845</v>
      </c>
      <c r="T51" s="7">
        <f t="shared" si="16"/>
        <v>6.7264980703746577E-2</v>
      </c>
      <c r="U51" s="5"/>
      <c r="V51" s="8"/>
    </row>
    <row r="52" spans="1:22" x14ac:dyDescent="0.25">
      <c r="A52" t="str">
        <f t="shared" si="8"/>
        <v>43921Bond</v>
      </c>
      <c r="B52" t="str">
        <f t="shared" si="9"/>
        <v>43921Minerva</v>
      </c>
      <c r="C52" s="4">
        <v>43921</v>
      </c>
      <c r="D52" t="s">
        <v>20</v>
      </c>
      <c r="E52" t="s">
        <v>35</v>
      </c>
      <c r="F52" t="s">
        <v>35</v>
      </c>
      <c r="G52" t="s">
        <v>34</v>
      </c>
      <c r="H52" s="5">
        <v>2283861.15</v>
      </c>
      <c r="I52" s="4">
        <v>47016</v>
      </c>
      <c r="J52" t="s">
        <v>30</v>
      </c>
      <c r="K52" s="10">
        <v>5.8749999999999997E-2</v>
      </c>
      <c r="L52" s="10">
        <f t="shared" si="20"/>
        <v>5.8749999999999997E-2</v>
      </c>
      <c r="M52" s="8">
        <f t="shared" si="12"/>
        <v>8.4794520547945211</v>
      </c>
      <c r="N52">
        <f t="shared" si="13"/>
        <v>2028</v>
      </c>
      <c r="O52" s="8">
        <f t="shared" si="14"/>
        <v>19365891.121232878</v>
      </c>
      <c r="P52" s="9">
        <f t="shared" si="15"/>
        <v>134176.84256249998</v>
      </c>
      <c r="Q52" s="5">
        <f t="shared" si="17"/>
        <v>134176.84256249998</v>
      </c>
      <c r="R52" s="5">
        <f t="shared" si="18"/>
        <v>33544.210640624995</v>
      </c>
      <c r="S52" s="8">
        <f t="shared" si="19"/>
        <v>5.5336276947430845</v>
      </c>
      <c r="T52" s="7">
        <f t="shared" si="16"/>
        <v>6.7264980703746577E-2</v>
      </c>
      <c r="U52" s="5"/>
      <c r="V52" s="8"/>
    </row>
    <row r="53" spans="1:22" x14ac:dyDescent="0.25">
      <c r="A53" t="str">
        <f t="shared" si="8"/>
        <v>43921PPE</v>
      </c>
      <c r="B53" t="str">
        <f t="shared" si="9"/>
        <v>43921Minerva</v>
      </c>
      <c r="C53" s="4">
        <v>43921</v>
      </c>
      <c r="D53" t="s">
        <v>20</v>
      </c>
      <c r="E53" t="s">
        <v>36</v>
      </c>
      <c r="F53" t="s">
        <v>36</v>
      </c>
      <c r="G53" t="s">
        <v>34</v>
      </c>
      <c r="H53" s="5">
        <v>584955.66</v>
      </c>
      <c r="I53" s="4">
        <v>44348</v>
      </c>
      <c r="J53" t="s">
        <v>37</v>
      </c>
      <c r="K53" s="12">
        <v>0.02</v>
      </c>
      <c r="L53" s="7">
        <v>0.04</v>
      </c>
      <c r="M53" s="8">
        <f t="shared" si="12"/>
        <v>1.1698630136986301</v>
      </c>
      <c r="N53">
        <f t="shared" si="13"/>
        <v>2021</v>
      </c>
      <c r="O53" s="8">
        <f t="shared" si="14"/>
        <v>684317.99128767126</v>
      </c>
      <c r="P53" s="9">
        <f t="shared" si="15"/>
        <v>23398.226400000003</v>
      </c>
      <c r="Q53" s="5">
        <f t="shared" si="17"/>
        <v>23398.226400000003</v>
      </c>
      <c r="R53" s="5">
        <f t="shared" si="18"/>
        <v>5849.5566000000008</v>
      </c>
      <c r="S53" s="8">
        <f t="shared" si="19"/>
        <v>5.5336276947430845</v>
      </c>
      <c r="T53" s="7">
        <f t="shared" si="16"/>
        <v>6.7264980703746577E-2</v>
      </c>
      <c r="U53" s="5"/>
      <c r="V53" s="8"/>
    </row>
    <row r="54" spans="1:22" x14ac:dyDescent="0.25">
      <c r="A54" t="str">
        <f t="shared" si="8"/>
        <v>43921PPE</v>
      </c>
      <c r="B54" t="str">
        <f t="shared" si="9"/>
        <v>43921Minerva</v>
      </c>
      <c r="C54" s="4">
        <v>43921</v>
      </c>
      <c r="D54" t="s">
        <v>20</v>
      </c>
      <c r="E54" t="s">
        <v>36</v>
      </c>
      <c r="F54" t="s">
        <v>36</v>
      </c>
      <c r="G54" t="s">
        <v>34</v>
      </c>
      <c r="H54" s="5">
        <f>918433-H53</f>
        <v>333477.33999999997</v>
      </c>
      <c r="I54" s="4">
        <v>44713</v>
      </c>
      <c r="J54" t="s">
        <v>37</v>
      </c>
      <c r="K54" s="12">
        <v>0.02</v>
      </c>
      <c r="L54" s="7">
        <v>0.04</v>
      </c>
      <c r="M54" s="8">
        <f t="shared" si="12"/>
        <v>2.1698630136986301</v>
      </c>
      <c r="N54">
        <f t="shared" si="13"/>
        <v>2022</v>
      </c>
      <c r="O54" s="8">
        <f t="shared" si="14"/>
        <v>723600.14597260265</v>
      </c>
      <c r="P54" s="9">
        <f t="shared" si="15"/>
        <v>13339.093599999998</v>
      </c>
      <c r="Q54" s="5">
        <f t="shared" si="17"/>
        <v>13339.093599999998</v>
      </c>
      <c r="R54" s="5">
        <f t="shared" si="18"/>
        <v>3334.7733999999996</v>
      </c>
      <c r="S54" s="8">
        <f t="shared" si="19"/>
        <v>5.5336276947430845</v>
      </c>
      <c r="T54" s="7">
        <f t="shared" si="16"/>
        <v>6.7264980703746577E-2</v>
      </c>
      <c r="U54" s="5"/>
      <c r="V54" s="8"/>
    </row>
    <row r="55" spans="1:22" x14ac:dyDescent="0.25">
      <c r="A55" t="str">
        <f t="shared" si="8"/>
        <v>43921CCE</v>
      </c>
      <c r="B55" t="str">
        <f t="shared" si="9"/>
        <v>43921Minerva</v>
      </c>
      <c r="C55" s="4">
        <v>43921</v>
      </c>
      <c r="D55" t="s">
        <v>20</v>
      </c>
      <c r="E55" t="s">
        <v>28</v>
      </c>
      <c r="F55" t="s">
        <v>38</v>
      </c>
      <c r="G55" t="s">
        <v>34</v>
      </c>
      <c r="H55" s="5">
        <v>322594</v>
      </c>
      <c r="I55" s="4">
        <v>43983</v>
      </c>
      <c r="J55" t="s">
        <v>30</v>
      </c>
      <c r="K55" s="10">
        <v>6.5000000000000002E-2</v>
      </c>
      <c r="L55" s="10">
        <f>K55</f>
        <v>6.5000000000000002E-2</v>
      </c>
      <c r="M55" s="8">
        <f t="shared" si="12"/>
        <v>0.16986301369863013</v>
      </c>
      <c r="N55">
        <f t="shared" si="13"/>
        <v>2020</v>
      </c>
      <c r="O55" s="8">
        <f t="shared" si="14"/>
        <v>54796.789041095886</v>
      </c>
      <c r="P55" s="9">
        <f t="shared" si="15"/>
        <v>20968.61</v>
      </c>
      <c r="Q55" s="5">
        <f t="shared" si="17"/>
        <v>20968.61</v>
      </c>
      <c r="R55" s="5">
        <f t="shared" si="18"/>
        <v>5242.1525000000001</v>
      </c>
      <c r="S55" s="8">
        <f t="shared" si="19"/>
        <v>5.5336276947430845</v>
      </c>
      <c r="T55" s="7">
        <f t="shared" si="16"/>
        <v>6.7264980703746577E-2</v>
      </c>
      <c r="U55" s="5"/>
      <c r="V55" s="8"/>
    </row>
    <row r="56" spans="1:22" x14ac:dyDescent="0.25">
      <c r="A56" t="str">
        <f t="shared" si="8"/>
        <v>43921Secured Loan</v>
      </c>
      <c r="B56" t="str">
        <f t="shared" si="9"/>
        <v>43921Minerva</v>
      </c>
      <c r="C56" s="4">
        <v>43921</v>
      </c>
      <c r="D56" t="s">
        <v>20</v>
      </c>
      <c r="E56" t="s">
        <v>28</v>
      </c>
      <c r="F56" t="s">
        <v>39</v>
      </c>
      <c r="G56" t="s">
        <v>34</v>
      </c>
      <c r="H56" s="5">
        <v>1229.3700000000001</v>
      </c>
      <c r="I56" s="4">
        <v>43983</v>
      </c>
      <c r="J56" t="s">
        <v>30</v>
      </c>
      <c r="K56" s="10">
        <v>6.5000000000000002E-2</v>
      </c>
      <c r="L56" s="10">
        <f t="shared" ref="L56:L66" si="21">K56</f>
        <v>6.5000000000000002E-2</v>
      </c>
      <c r="M56" s="8">
        <f t="shared" si="12"/>
        <v>0.16986301369863013</v>
      </c>
      <c r="N56">
        <f t="shared" si="13"/>
        <v>2020</v>
      </c>
      <c r="O56" s="8">
        <f t="shared" si="14"/>
        <v>208.82449315068496</v>
      </c>
      <c r="P56" s="9">
        <f t="shared" si="15"/>
        <v>79.909050000000008</v>
      </c>
      <c r="Q56" s="5">
        <f t="shared" si="17"/>
        <v>79.909050000000008</v>
      </c>
      <c r="R56" s="5">
        <f t="shared" si="18"/>
        <v>19.977262500000002</v>
      </c>
      <c r="S56" s="8">
        <f t="shared" si="19"/>
        <v>5.5336276947430845</v>
      </c>
      <c r="T56" s="7">
        <f t="shared" si="16"/>
        <v>6.7264980703746577E-2</v>
      </c>
      <c r="U56" s="5"/>
      <c r="V56" s="8"/>
    </row>
    <row r="57" spans="1:22" x14ac:dyDescent="0.25">
      <c r="A57" t="str">
        <f t="shared" si="8"/>
        <v>43921Secured Loan</v>
      </c>
      <c r="B57" t="str">
        <f t="shared" si="9"/>
        <v>43921Minerva</v>
      </c>
      <c r="C57" s="4">
        <v>43921</v>
      </c>
      <c r="D57" t="s">
        <v>20</v>
      </c>
      <c r="E57" t="s">
        <v>28</v>
      </c>
      <c r="F57" t="s">
        <v>39</v>
      </c>
      <c r="G57" t="s">
        <v>34</v>
      </c>
      <c r="H57" s="5">
        <v>1280.97</v>
      </c>
      <c r="I57" s="4">
        <v>44348</v>
      </c>
      <c r="J57" t="s">
        <v>30</v>
      </c>
      <c r="K57" s="10">
        <v>6.5000000000000002E-2</v>
      </c>
      <c r="L57" s="10">
        <f t="shared" si="21"/>
        <v>6.5000000000000002E-2</v>
      </c>
      <c r="M57" s="8">
        <f t="shared" si="12"/>
        <v>1.1698630136986301</v>
      </c>
      <c r="N57">
        <f t="shared" si="13"/>
        <v>2021</v>
      </c>
      <c r="O57" s="8">
        <f t="shared" si="14"/>
        <v>1498.5594246575342</v>
      </c>
      <c r="P57" s="9">
        <f t="shared" si="15"/>
        <v>83.263050000000007</v>
      </c>
      <c r="Q57" s="5">
        <f t="shared" si="17"/>
        <v>83.263050000000007</v>
      </c>
      <c r="R57" s="5">
        <f t="shared" si="18"/>
        <v>20.815762500000002</v>
      </c>
      <c r="S57" s="8">
        <f t="shared" si="19"/>
        <v>5.5336276947430845</v>
      </c>
      <c r="T57" s="7">
        <f t="shared" si="16"/>
        <v>6.7264980703746577E-2</v>
      </c>
      <c r="U57" s="5"/>
      <c r="V57" s="8"/>
    </row>
    <row r="58" spans="1:22" x14ac:dyDescent="0.25">
      <c r="A58" t="str">
        <f t="shared" si="8"/>
        <v>43921Secured Loan</v>
      </c>
      <c r="B58" t="str">
        <f t="shared" si="9"/>
        <v>43921Minerva</v>
      </c>
      <c r="C58" s="4">
        <v>43921</v>
      </c>
      <c r="D58" t="s">
        <v>20</v>
      </c>
      <c r="E58" t="s">
        <v>28</v>
      </c>
      <c r="F58" t="s">
        <v>39</v>
      </c>
      <c r="G58" t="s">
        <v>34</v>
      </c>
      <c r="H58" s="5">
        <v>1379.01</v>
      </c>
      <c r="I58" s="4">
        <v>44713</v>
      </c>
      <c r="J58" t="s">
        <v>30</v>
      </c>
      <c r="K58" s="10">
        <v>6.5000000000000002E-2</v>
      </c>
      <c r="L58" s="10">
        <f t="shared" si="21"/>
        <v>6.5000000000000002E-2</v>
      </c>
      <c r="M58" s="8">
        <f t="shared" si="12"/>
        <v>2.1698630136986301</v>
      </c>
      <c r="N58">
        <f t="shared" si="13"/>
        <v>2022</v>
      </c>
      <c r="O58" s="8">
        <f t="shared" si="14"/>
        <v>2992.2627945205477</v>
      </c>
      <c r="P58" s="9">
        <f t="shared" si="15"/>
        <v>89.635649999999998</v>
      </c>
      <c r="Q58" s="5">
        <f t="shared" si="17"/>
        <v>89.635649999999998</v>
      </c>
      <c r="R58" s="5">
        <f t="shared" si="18"/>
        <v>22.4089125</v>
      </c>
      <c r="S58" s="8">
        <f t="shared" si="19"/>
        <v>5.5336276947430845</v>
      </c>
      <c r="T58" s="7">
        <f t="shared" si="16"/>
        <v>6.7264980703746577E-2</v>
      </c>
      <c r="U58" s="5"/>
      <c r="V58" s="8"/>
    </row>
    <row r="59" spans="1:22" x14ac:dyDescent="0.25">
      <c r="A59" t="str">
        <f t="shared" si="8"/>
        <v>43921Secured Loan</v>
      </c>
      <c r="B59" t="str">
        <f t="shared" si="9"/>
        <v>43921Minerva</v>
      </c>
      <c r="C59" s="4">
        <v>43921</v>
      </c>
      <c r="D59" t="s">
        <v>20</v>
      </c>
      <c r="E59" t="s">
        <v>28</v>
      </c>
      <c r="F59" t="s">
        <v>39</v>
      </c>
      <c r="G59" t="s">
        <v>34</v>
      </c>
      <c r="H59" s="5">
        <v>1486.08</v>
      </c>
      <c r="I59" s="4">
        <v>45078</v>
      </c>
      <c r="J59" t="s">
        <v>30</v>
      </c>
      <c r="K59" s="10">
        <v>6.5000000000000002E-2</v>
      </c>
      <c r="L59" s="10">
        <f t="shared" si="21"/>
        <v>6.5000000000000002E-2</v>
      </c>
      <c r="M59" s="8">
        <f t="shared" si="12"/>
        <v>3.1698630136986301</v>
      </c>
      <c r="N59">
        <f t="shared" si="13"/>
        <v>2023</v>
      </c>
      <c r="O59" s="8">
        <f t="shared" si="14"/>
        <v>4710.6700273972601</v>
      </c>
      <c r="P59" s="9">
        <f t="shared" si="15"/>
        <v>96.595200000000006</v>
      </c>
      <c r="Q59" s="5">
        <f t="shared" si="17"/>
        <v>96.595200000000006</v>
      </c>
      <c r="R59" s="5">
        <f t="shared" si="18"/>
        <v>24.148800000000001</v>
      </c>
      <c r="S59" s="8">
        <f t="shared" si="19"/>
        <v>5.5336276947430845</v>
      </c>
      <c r="T59" s="7">
        <f t="shared" si="16"/>
        <v>6.7264980703746577E-2</v>
      </c>
      <c r="U59" s="5"/>
      <c r="V59" s="8"/>
    </row>
    <row r="60" spans="1:22" x14ac:dyDescent="0.25">
      <c r="A60" t="str">
        <f t="shared" si="8"/>
        <v>43921Secured Loan</v>
      </c>
      <c r="B60" t="str">
        <f t="shared" si="9"/>
        <v>43921Minerva</v>
      </c>
      <c r="C60" s="4">
        <v>43921</v>
      </c>
      <c r="D60" t="s">
        <v>20</v>
      </c>
      <c r="E60" t="s">
        <v>28</v>
      </c>
      <c r="F60" t="s">
        <v>39</v>
      </c>
      <c r="G60" t="s">
        <v>34</v>
      </c>
      <c r="H60" s="5">
        <v>1462.8600000000001</v>
      </c>
      <c r="I60" s="4">
        <v>45444</v>
      </c>
      <c r="J60" t="s">
        <v>30</v>
      </c>
      <c r="K60" s="10">
        <v>6.5000000000000002E-2</v>
      </c>
      <c r="L60" s="10">
        <f t="shared" si="21"/>
        <v>6.5000000000000002E-2</v>
      </c>
      <c r="M60" s="8">
        <f t="shared" si="12"/>
        <v>4.1726027397260275</v>
      </c>
      <c r="N60">
        <f t="shared" si="13"/>
        <v>2024</v>
      </c>
      <c r="O60" s="8">
        <f t="shared" si="14"/>
        <v>6103.9336438356167</v>
      </c>
      <c r="P60" s="9">
        <f t="shared" si="15"/>
        <v>95.085900000000009</v>
      </c>
      <c r="Q60" s="5">
        <f t="shared" si="17"/>
        <v>95.085900000000009</v>
      </c>
      <c r="R60" s="5">
        <f t="shared" si="18"/>
        <v>23.771475000000002</v>
      </c>
      <c r="S60" s="8">
        <f t="shared" si="19"/>
        <v>5.5336276947430845</v>
      </c>
      <c r="T60" s="7">
        <f t="shared" si="16"/>
        <v>6.7264980703746577E-2</v>
      </c>
      <c r="U60" s="5"/>
      <c r="V60" s="8"/>
    </row>
    <row r="61" spans="1:22" x14ac:dyDescent="0.25">
      <c r="A61" t="str">
        <f t="shared" si="8"/>
        <v>43921Secured Loan</v>
      </c>
      <c r="B61" t="str">
        <f t="shared" si="9"/>
        <v>43921Minerva</v>
      </c>
      <c r="C61" s="4">
        <v>43921</v>
      </c>
      <c r="D61" t="s">
        <v>20</v>
      </c>
      <c r="E61" t="s">
        <v>28</v>
      </c>
      <c r="F61" t="s">
        <v>39</v>
      </c>
      <c r="G61" t="s">
        <v>34</v>
      </c>
      <c r="H61" s="5">
        <v>1399.65</v>
      </c>
      <c r="I61" s="4">
        <v>45809</v>
      </c>
      <c r="J61" t="s">
        <v>30</v>
      </c>
      <c r="K61" s="10">
        <v>6.5000000000000002E-2</v>
      </c>
      <c r="L61" s="10">
        <f t="shared" si="21"/>
        <v>6.5000000000000002E-2</v>
      </c>
      <c r="M61" s="8">
        <f t="shared" si="12"/>
        <v>5.1726027397260275</v>
      </c>
      <c r="N61">
        <f t="shared" si="13"/>
        <v>2025</v>
      </c>
      <c r="O61" s="8">
        <f t="shared" si="14"/>
        <v>7239.833424657535</v>
      </c>
      <c r="P61" s="9">
        <f t="shared" si="15"/>
        <v>90.977250000000012</v>
      </c>
      <c r="Q61" s="5">
        <f t="shared" si="17"/>
        <v>90.977250000000012</v>
      </c>
      <c r="R61" s="5">
        <f t="shared" si="18"/>
        <v>22.744312500000003</v>
      </c>
      <c r="S61" s="8">
        <f t="shared" si="19"/>
        <v>5.5336276947430845</v>
      </c>
      <c r="T61" s="7">
        <f t="shared" si="16"/>
        <v>6.7264980703746577E-2</v>
      </c>
      <c r="U61" s="5"/>
      <c r="V61" s="8"/>
    </row>
    <row r="62" spans="1:22" x14ac:dyDescent="0.25">
      <c r="A62" t="str">
        <f t="shared" si="8"/>
        <v>43921Secured Loan</v>
      </c>
      <c r="B62" t="str">
        <f t="shared" si="9"/>
        <v>43921Minerva</v>
      </c>
      <c r="C62" s="4">
        <v>43921</v>
      </c>
      <c r="D62" t="s">
        <v>20</v>
      </c>
      <c r="E62" t="s">
        <v>28</v>
      </c>
      <c r="F62" t="s">
        <v>39</v>
      </c>
      <c r="G62" t="s">
        <v>34</v>
      </c>
      <c r="H62" s="5">
        <v>2044.65</v>
      </c>
      <c r="I62" s="4">
        <v>46174</v>
      </c>
      <c r="J62" t="s">
        <v>30</v>
      </c>
      <c r="K62" s="10">
        <v>6.5000000000000002E-2</v>
      </c>
      <c r="L62" s="10">
        <f t="shared" si="21"/>
        <v>6.5000000000000002E-2</v>
      </c>
      <c r="M62" s="8">
        <f t="shared" si="12"/>
        <v>6.1726027397260275</v>
      </c>
      <c r="N62">
        <f t="shared" si="13"/>
        <v>2026</v>
      </c>
      <c r="O62" s="8">
        <f t="shared" si="14"/>
        <v>12620.812191780822</v>
      </c>
      <c r="P62" s="9">
        <f t="shared" si="15"/>
        <v>132.90225000000001</v>
      </c>
      <c r="Q62" s="5">
        <f t="shared" si="17"/>
        <v>132.90225000000001</v>
      </c>
      <c r="R62" s="5">
        <f t="shared" si="18"/>
        <v>33.225562500000002</v>
      </c>
      <c r="S62" s="8">
        <f t="shared" si="19"/>
        <v>5.5336276947430845</v>
      </c>
      <c r="T62" s="7">
        <f t="shared" si="16"/>
        <v>6.7264980703746577E-2</v>
      </c>
      <c r="U62" s="5"/>
      <c r="V62" s="8"/>
    </row>
    <row r="63" spans="1:22" x14ac:dyDescent="0.25">
      <c r="A63" t="str">
        <f t="shared" si="8"/>
        <v>43921Secured Loan</v>
      </c>
      <c r="B63" t="str">
        <f t="shared" si="9"/>
        <v>43921Minerva</v>
      </c>
      <c r="C63" s="4">
        <v>43921</v>
      </c>
      <c r="D63" t="s">
        <v>20</v>
      </c>
      <c r="E63" t="s">
        <v>28</v>
      </c>
      <c r="F63" t="s">
        <v>39</v>
      </c>
      <c r="G63" t="s">
        <v>34</v>
      </c>
      <c r="H63" s="5">
        <v>2258.79</v>
      </c>
      <c r="I63" s="4">
        <v>46539</v>
      </c>
      <c r="J63" t="s">
        <v>30</v>
      </c>
      <c r="K63" s="10">
        <v>6.5000000000000002E-2</v>
      </c>
      <c r="L63" s="10">
        <f t="shared" si="21"/>
        <v>6.5000000000000002E-2</v>
      </c>
      <c r="M63" s="8">
        <f t="shared" si="12"/>
        <v>7.1726027397260275</v>
      </c>
      <c r="N63">
        <f t="shared" si="13"/>
        <v>2027</v>
      </c>
      <c r="O63" s="8">
        <f t="shared" si="14"/>
        <v>16201.403342465754</v>
      </c>
      <c r="P63" s="9">
        <f t="shared" si="15"/>
        <v>146.82135</v>
      </c>
      <c r="Q63" s="5">
        <f t="shared" si="17"/>
        <v>146.82135</v>
      </c>
      <c r="R63" s="5">
        <f t="shared" si="18"/>
        <v>36.705337499999999</v>
      </c>
      <c r="S63" s="8">
        <f t="shared" si="19"/>
        <v>5.5336276947430845</v>
      </c>
      <c r="T63" s="7">
        <f t="shared" si="16"/>
        <v>6.7264980703746577E-2</v>
      </c>
      <c r="U63" s="5"/>
      <c r="V63" s="8"/>
    </row>
    <row r="64" spans="1:22" x14ac:dyDescent="0.25">
      <c r="A64" t="str">
        <f t="shared" si="8"/>
        <v>43921Secured Loan</v>
      </c>
      <c r="B64" t="str">
        <f t="shared" si="9"/>
        <v>43921Minerva</v>
      </c>
      <c r="C64" s="4">
        <v>43921</v>
      </c>
      <c r="D64" t="s">
        <v>20</v>
      </c>
      <c r="E64" t="s">
        <v>28</v>
      </c>
      <c r="F64" t="s">
        <v>39</v>
      </c>
      <c r="G64" t="s">
        <v>34</v>
      </c>
      <c r="H64" s="5">
        <v>2287.17</v>
      </c>
      <c r="I64" s="4">
        <v>46905</v>
      </c>
      <c r="J64" t="s">
        <v>30</v>
      </c>
      <c r="K64" s="10">
        <v>6.5000000000000002E-2</v>
      </c>
      <c r="L64" s="10">
        <f t="shared" si="21"/>
        <v>6.5000000000000002E-2</v>
      </c>
      <c r="M64" s="8">
        <f t="shared" si="12"/>
        <v>8.1753424657534239</v>
      </c>
      <c r="N64">
        <f t="shared" si="13"/>
        <v>2028</v>
      </c>
      <c r="O64" s="8">
        <f t="shared" si="14"/>
        <v>18698.398027397259</v>
      </c>
      <c r="P64" s="9">
        <f t="shared" si="15"/>
        <v>148.66605000000001</v>
      </c>
      <c r="Q64" s="5">
        <f t="shared" si="17"/>
        <v>148.66605000000001</v>
      </c>
      <c r="R64" s="5">
        <f t="shared" si="18"/>
        <v>37.166512500000003</v>
      </c>
      <c r="S64" s="8">
        <f t="shared" si="19"/>
        <v>5.5336276947430845</v>
      </c>
      <c r="T64" s="7">
        <f t="shared" si="16"/>
        <v>6.7264980703746577E-2</v>
      </c>
      <c r="U64" s="5"/>
      <c r="V64" s="8"/>
    </row>
    <row r="65" spans="1:24" x14ac:dyDescent="0.25">
      <c r="A65" t="str">
        <f t="shared" si="8"/>
        <v>43921Secured Loan</v>
      </c>
      <c r="B65" t="str">
        <f t="shared" si="9"/>
        <v>43921Minerva</v>
      </c>
      <c r="C65" s="4">
        <v>43921</v>
      </c>
      <c r="D65" t="s">
        <v>20</v>
      </c>
      <c r="E65" t="s">
        <v>28</v>
      </c>
      <c r="F65" t="s">
        <v>39</v>
      </c>
      <c r="G65" t="s">
        <v>34</v>
      </c>
      <c r="H65" s="5">
        <v>735.44999999999891</v>
      </c>
      <c r="I65" s="4">
        <v>47270</v>
      </c>
      <c r="J65" t="s">
        <v>30</v>
      </c>
      <c r="K65" s="10">
        <v>6.5000000000000002E-2</v>
      </c>
      <c r="L65" s="10">
        <f t="shared" si="21"/>
        <v>6.5000000000000002E-2</v>
      </c>
      <c r="M65" s="8">
        <f t="shared" si="12"/>
        <v>9.1753424657534239</v>
      </c>
      <c r="N65">
        <f t="shared" si="13"/>
        <v>2029</v>
      </c>
      <c r="O65" s="8">
        <f t="shared" si="14"/>
        <v>6748.0056164383459</v>
      </c>
      <c r="P65" s="9">
        <f t="shared" si="15"/>
        <v>47.804249999999932</v>
      </c>
      <c r="Q65" s="5">
        <f t="shared" si="17"/>
        <v>47.804249999999932</v>
      </c>
      <c r="R65" s="5">
        <f t="shared" si="18"/>
        <v>11.951062499999983</v>
      </c>
      <c r="S65" s="8">
        <f t="shared" si="19"/>
        <v>5.5336276947430845</v>
      </c>
      <c r="T65" s="7">
        <f t="shared" si="16"/>
        <v>6.7264980703746577E-2</v>
      </c>
      <c r="U65" s="5"/>
      <c r="V65" s="8"/>
    </row>
    <row r="66" spans="1:24" x14ac:dyDescent="0.25">
      <c r="A66" t="str">
        <f t="shared" si="8"/>
        <v>43921Outros</v>
      </c>
      <c r="B66" t="str">
        <f t="shared" si="9"/>
        <v>43921Minerva</v>
      </c>
      <c r="C66" s="4">
        <v>43921</v>
      </c>
      <c r="D66" t="s">
        <v>20</v>
      </c>
      <c r="E66" t="s">
        <v>28</v>
      </c>
      <c r="F66" t="s">
        <v>28</v>
      </c>
      <c r="G66" t="s">
        <v>34</v>
      </c>
      <c r="H66" s="5">
        <v>277060</v>
      </c>
      <c r="I66" s="4">
        <v>43983</v>
      </c>
      <c r="J66" t="s">
        <v>30</v>
      </c>
      <c r="K66" s="10">
        <v>6.5000000000000002E-2</v>
      </c>
      <c r="L66" s="10">
        <f t="shared" si="21"/>
        <v>6.5000000000000002E-2</v>
      </c>
      <c r="M66" s="8">
        <f t="shared" si="12"/>
        <v>0.16986301369863013</v>
      </c>
      <c r="N66">
        <f t="shared" si="13"/>
        <v>2020</v>
      </c>
      <c r="O66" s="8">
        <f t="shared" si="14"/>
        <v>47062.246575342462</v>
      </c>
      <c r="P66" s="9">
        <f t="shared" si="15"/>
        <v>18008.900000000001</v>
      </c>
      <c r="Q66" s="5">
        <f t="shared" si="17"/>
        <v>18008.900000000001</v>
      </c>
      <c r="R66" s="5">
        <f t="shared" si="18"/>
        <v>4502.2250000000004</v>
      </c>
      <c r="S66" s="8">
        <f t="shared" si="19"/>
        <v>5.5336276947430845</v>
      </c>
      <c r="T66" s="7">
        <f t="shared" si="16"/>
        <v>6.7264980703746577E-2</v>
      </c>
      <c r="U66" s="5"/>
      <c r="V66" s="8"/>
    </row>
    <row r="67" spans="1:24" x14ac:dyDescent="0.25">
      <c r="A67" t="str">
        <f t="shared" si="8"/>
        <v>43921Derivativos</v>
      </c>
      <c r="B67" t="str">
        <f t="shared" si="9"/>
        <v>43921Minerva</v>
      </c>
      <c r="C67" s="4">
        <v>43921</v>
      </c>
      <c r="D67" t="s">
        <v>20</v>
      </c>
      <c r="E67" t="s">
        <v>28</v>
      </c>
      <c r="F67" t="s">
        <v>40</v>
      </c>
      <c r="G67" t="s">
        <v>34</v>
      </c>
      <c r="H67" s="5">
        <v>-114177</v>
      </c>
      <c r="L67" s="7"/>
      <c r="O67" s="8"/>
      <c r="P67" s="9"/>
      <c r="S67" s="11">
        <f t="shared" si="19"/>
        <v>5.5336276947430845</v>
      </c>
      <c r="T67" s="11">
        <f t="shared" si="16"/>
        <v>6.7264980703746577E-2</v>
      </c>
      <c r="U67" s="5"/>
      <c r="V67" s="8"/>
    </row>
    <row r="68" spans="1:24" x14ac:dyDescent="0.25">
      <c r="A68" t="str">
        <f t="shared" si="8"/>
        <v>43921Derivativos</v>
      </c>
      <c r="B68" t="str">
        <f t="shared" si="9"/>
        <v>43921Minerva</v>
      </c>
      <c r="C68" s="4">
        <v>43921</v>
      </c>
      <c r="D68" t="s">
        <v>20</v>
      </c>
      <c r="E68" t="s">
        <v>28</v>
      </c>
      <c r="F68" t="s">
        <v>40</v>
      </c>
      <c r="G68" t="s">
        <v>34</v>
      </c>
      <c r="H68" s="5">
        <v>-1163947</v>
      </c>
      <c r="L68" s="7"/>
      <c r="O68" s="8"/>
      <c r="P68" s="9"/>
      <c r="S68" s="11">
        <f t="shared" si="19"/>
        <v>5.5336276947430845</v>
      </c>
      <c r="T68" s="11">
        <f t="shared" si="16"/>
        <v>6.7264980703746577E-2</v>
      </c>
      <c r="U68" s="5"/>
      <c r="V68" s="8"/>
    </row>
    <row r="69" spans="1:24" hidden="1" x14ac:dyDescent="0.25">
      <c r="H69" s="5"/>
      <c r="L69" s="7"/>
      <c r="O69" s="8"/>
      <c r="P69" s="9"/>
      <c r="S69" s="11"/>
      <c r="T69" s="11"/>
      <c r="U69" s="5"/>
      <c r="V69" s="8"/>
    </row>
    <row r="70" spans="1:24" hidden="1" x14ac:dyDescent="0.25">
      <c r="A70" t="str">
        <f t="shared" si="8"/>
        <v>43738Debênture 2020</v>
      </c>
      <c r="B70" t="str">
        <f t="shared" si="9"/>
        <v>43738Minerva</v>
      </c>
      <c r="C70" s="4">
        <v>43738</v>
      </c>
      <c r="D70" t="s">
        <v>20</v>
      </c>
      <c r="E70" t="s">
        <v>21</v>
      </c>
      <c r="F70" t="s">
        <v>22</v>
      </c>
      <c r="G70" t="s">
        <v>23</v>
      </c>
      <c r="H70" s="5">
        <v>359384</v>
      </c>
      <c r="I70" s="4">
        <v>44106</v>
      </c>
      <c r="J70" t="s">
        <v>24</v>
      </c>
      <c r="K70" s="12">
        <v>1.0549999999999999</v>
      </c>
      <c r="L70" s="7">
        <f>(((1+4.4%)^(1/252)-1)*K70+1)^(252)-1</f>
        <v>4.6475182575541618E-2</v>
      </c>
      <c r="M70" s="8">
        <f>(I70-C70)/365</f>
        <v>1.0082191780821919</v>
      </c>
      <c r="N70">
        <f>YEAR(I70)</f>
        <v>2020</v>
      </c>
      <c r="O70" s="8">
        <f>M70*H70</f>
        <v>362337.84109589044</v>
      </c>
      <c r="P70" s="9">
        <f>L70*H70</f>
        <v>16702.43701472845</v>
      </c>
      <c r="Q70" s="5">
        <f>H70*L70</f>
        <v>16702.43701472845</v>
      </c>
      <c r="R70" s="5">
        <f>Q70/4</f>
        <v>4175.6092536821125</v>
      </c>
      <c r="S70" s="8">
        <f t="shared" ref="S70:S102" si="22">SUMIFS($O:$O,$C:$C,$C70,$D:$D,D70)/SUMIFS($H:$H,$C:$C,$C70,$D:$D,D70)</f>
        <v>5.2407187189404505</v>
      </c>
      <c r="T70" s="7">
        <f t="shared" ref="T70:T102" si="23">SUMIFS($P:$P,$C:$C,$C70,$D:$D,D70)/SUMIFS($H:$H,$C:$C,$C70,$D:$D,D70)</f>
        <v>6.082163803578116E-2</v>
      </c>
      <c r="U70" s="5"/>
      <c r="V70" s="8"/>
      <c r="W70" s="5"/>
      <c r="X70" s="9"/>
    </row>
    <row r="71" spans="1:24" hidden="1" x14ac:dyDescent="0.25">
      <c r="A71" t="str">
        <f t="shared" si="8"/>
        <v>43738Debênture 2024</v>
      </c>
      <c r="B71" t="str">
        <f t="shared" si="9"/>
        <v>43738Minerva</v>
      </c>
      <c r="C71" s="4">
        <v>43738</v>
      </c>
      <c r="D71" t="s">
        <v>20</v>
      </c>
      <c r="E71" t="s">
        <v>21</v>
      </c>
      <c r="F71" t="s">
        <v>25</v>
      </c>
      <c r="G71" t="s">
        <v>23</v>
      </c>
      <c r="H71" s="5">
        <v>407365</v>
      </c>
      <c r="I71" s="4">
        <v>44696</v>
      </c>
      <c r="J71" t="s">
        <v>24</v>
      </c>
      <c r="K71" s="10">
        <v>1.7999999999999999E-2</v>
      </c>
      <c r="L71" s="7">
        <f>(1+3%)*(1+K71)-1</f>
        <v>4.8540000000000028E-2</v>
      </c>
      <c r="M71" s="8">
        <f t="shared" ref="M71:M102" si="24">(I71-C71)/365</f>
        <v>2.6246575342465754</v>
      </c>
      <c r="N71">
        <f t="shared" ref="N71:N102" si="25">YEAR(I71)</f>
        <v>2022</v>
      </c>
      <c r="O71" s="8">
        <f t="shared" ref="O71:O102" si="26">M71*H71</f>
        <v>1069193.6164383562</v>
      </c>
      <c r="P71" s="9">
        <f t="shared" ref="P71:P102" si="27">L71*H71</f>
        <v>19773.497100000011</v>
      </c>
      <c r="Q71" s="5">
        <f t="shared" ref="Q71:Q102" si="28">H71*L71</f>
        <v>19773.497100000011</v>
      </c>
      <c r="R71" s="5">
        <f t="shared" ref="R71:R102" si="29">Q71/4</f>
        <v>4943.3742750000029</v>
      </c>
      <c r="S71" s="8">
        <f t="shared" si="22"/>
        <v>5.2407187189404505</v>
      </c>
      <c r="T71" s="7">
        <f t="shared" si="23"/>
        <v>6.082163803578116E-2</v>
      </c>
      <c r="U71" s="5"/>
      <c r="V71" s="8"/>
      <c r="W71" s="5"/>
    </row>
    <row r="72" spans="1:24" hidden="1" x14ac:dyDescent="0.25">
      <c r="A72" t="str">
        <f t="shared" si="8"/>
        <v>43738CCB</v>
      </c>
      <c r="B72" t="str">
        <f t="shared" si="9"/>
        <v>43738Minerva</v>
      </c>
      <c r="C72" s="4">
        <v>43738</v>
      </c>
      <c r="D72" t="s">
        <v>20</v>
      </c>
      <c r="E72" t="s">
        <v>28</v>
      </c>
      <c r="F72" t="s">
        <v>29</v>
      </c>
      <c r="G72" t="s">
        <v>23</v>
      </c>
      <c r="H72" s="5">
        <v>22504</v>
      </c>
      <c r="I72" s="4">
        <v>43983</v>
      </c>
      <c r="J72" t="s">
        <v>30</v>
      </c>
      <c r="K72" s="10">
        <v>8.3500000000000005E-2</v>
      </c>
      <c r="L72" s="10">
        <v>8.3500000000000005E-2</v>
      </c>
      <c r="M72" s="8">
        <f t="shared" si="24"/>
        <v>0.67123287671232879</v>
      </c>
      <c r="N72">
        <f t="shared" si="25"/>
        <v>2020</v>
      </c>
      <c r="O72" s="8">
        <f t="shared" si="26"/>
        <v>15105.424657534248</v>
      </c>
      <c r="P72" s="9">
        <f t="shared" si="27"/>
        <v>1879.0840000000001</v>
      </c>
      <c r="Q72" s="5">
        <f t="shared" si="28"/>
        <v>1879.0840000000001</v>
      </c>
      <c r="R72" s="5">
        <f t="shared" si="29"/>
        <v>469.77100000000002</v>
      </c>
      <c r="S72" s="8">
        <f t="shared" si="22"/>
        <v>5.2407187189404505</v>
      </c>
      <c r="T72" s="7">
        <f t="shared" si="23"/>
        <v>6.082163803578116E-2</v>
      </c>
      <c r="U72" s="5"/>
      <c r="V72" s="5"/>
      <c r="W72" s="5"/>
    </row>
    <row r="73" spans="1:24" hidden="1" x14ac:dyDescent="0.25">
      <c r="A73" t="str">
        <f t="shared" si="8"/>
        <v>43738CCB</v>
      </c>
      <c r="B73" t="str">
        <f t="shared" si="9"/>
        <v>43738Minerva</v>
      </c>
      <c r="C73" s="4">
        <v>43738</v>
      </c>
      <c r="D73" t="s">
        <v>20</v>
      </c>
      <c r="E73" t="s">
        <v>28</v>
      </c>
      <c r="F73" t="s">
        <v>29</v>
      </c>
      <c r="G73" t="s">
        <v>23</v>
      </c>
      <c r="H73" s="5">
        <v>51824</v>
      </c>
      <c r="I73" s="4">
        <v>44348</v>
      </c>
      <c r="J73" t="s">
        <v>30</v>
      </c>
      <c r="K73" s="10">
        <v>8.3500000000000005E-2</v>
      </c>
      <c r="L73" s="10">
        <v>8.3500000000000005E-2</v>
      </c>
      <c r="M73" s="8">
        <f t="shared" si="24"/>
        <v>1.6712328767123288</v>
      </c>
      <c r="N73">
        <f t="shared" si="25"/>
        <v>2021</v>
      </c>
      <c r="O73" s="8">
        <f t="shared" si="26"/>
        <v>86609.972602739726</v>
      </c>
      <c r="P73" s="9">
        <f t="shared" si="27"/>
        <v>4327.3040000000001</v>
      </c>
      <c r="Q73" s="5">
        <f t="shared" si="28"/>
        <v>4327.3040000000001</v>
      </c>
      <c r="R73" s="5">
        <f t="shared" si="29"/>
        <v>1081.826</v>
      </c>
      <c r="S73" s="8">
        <f t="shared" si="22"/>
        <v>5.2407187189404505</v>
      </c>
      <c r="T73" s="7">
        <f t="shared" si="23"/>
        <v>6.082163803578116E-2</v>
      </c>
      <c r="U73" s="5"/>
      <c r="V73" s="5"/>
      <c r="W73" s="5"/>
    </row>
    <row r="74" spans="1:24" hidden="1" x14ac:dyDescent="0.25">
      <c r="A74" t="str">
        <f t="shared" si="8"/>
        <v>43738NCE</v>
      </c>
      <c r="B74" t="str">
        <f t="shared" si="9"/>
        <v>43738Minerva</v>
      </c>
      <c r="C74" s="4">
        <v>43738</v>
      </c>
      <c r="D74" t="s">
        <v>20</v>
      </c>
      <c r="E74" t="s">
        <v>31</v>
      </c>
      <c r="F74" t="s">
        <v>31</v>
      </c>
      <c r="G74" t="s">
        <v>23</v>
      </c>
      <c r="H74" s="5">
        <v>479531</v>
      </c>
      <c r="I74" s="4">
        <v>43983</v>
      </c>
      <c r="J74" t="s">
        <v>24</v>
      </c>
      <c r="K74" s="10">
        <v>0.03</v>
      </c>
      <c r="L74" s="7">
        <f t="shared" ref="L74:L75" si="30">(1+3%)*(1+K74)-1</f>
        <v>6.0899999999999954E-2</v>
      </c>
      <c r="M74" s="8">
        <f t="shared" si="24"/>
        <v>0.67123287671232879</v>
      </c>
      <c r="N74">
        <f t="shared" si="25"/>
        <v>2020</v>
      </c>
      <c r="O74" s="8">
        <f t="shared" si="26"/>
        <v>321876.97260273976</v>
      </c>
      <c r="P74" s="9">
        <f t="shared" si="27"/>
        <v>29203.437899999979</v>
      </c>
      <c r="Q74" s="5">
        <f t="shared" si="28"/>
        <v>29203.437899999979</v>
      </c>
      <c r="R74" s="5">
        <f t="shared" si="29"/>
        <v>7300.8594749999947</v>
      </c>
      <c r="S74" s="8">
        <f t="shared" si="22"/>
        <v>5.2407187189404505</v>
      </c>
      <c r="T74" s="7">
        <f t="shared" si="23"/>
        <v>6.082163803578116E-2</v>
      </c>
      <c r="U74" s="5"/>
      <c r="V74" s="5"/>
      <c r="W74" s="5"/>
    </row>
    <row r="75" spans="1:24" hidden="1" x14ac:dyDescent="0.25">
      <c r="A75" t="str">
        <f t="shared" si="8"/>
        <v>43738NCE</v>
      </c>
      <c r="B75" t="str">
        <f t="shared" si="9"/>
        <v>43738Minerva</v>
      </c>
      <c r="C75" s="4">
        <v>43738</v>
      </c>
      <c r="D75" t="s">
        <v>20</v>
      </c>
      <c r="E75" t="s">
        <v>31</v>
      </c>
      <c r="F75" t="s">
        <v>31</v>
      </c>
      <c r="G75" t="s">
        <v>23</v>
      </c>
      <c r="H75" s="5">
        <v>274530</v>
      </c>
      <c r="I75" s="4">
        <v>43983</v>
      </c>
      <c r="J75" t="s">
        <v>42</v>
      </c>
      <c r="K75" s="10">
        <v>0.03</v>
      </c>
      <c r="L75" s="7">
        <f t="shared" si="30"/>
        <v>6.0899999999999954E-2</v>
      </c>
      <c r="M75" s="8">
        <f t="shared" si="24"/>
        <v>0.67123287671232879</v>
      </c>
      <c r="N75">
        <f t="shared" si="25"/>
        <v>2020</v>
      </c>
      <c r="O75" s="8">
        <f t="shared" si="26"/>
        <v>184273.56164383562</v>
      </c>
      <c r="P75" s="9">
        <f t="shared" si="27"/>
        <v>16718.876999999986</v>
      </c>
      <c r="Q75" s="5">
        <f t="shared" si="28"/>
        <v>16718.876999999986</v>
      </c>
      <c r="R75" s="5">
        <f t="shared" si="29"/>
        <v>4179.7192499999965</v>
      </c>
      <c r="S75" s="8">
        <f t="shared" si="22"/>
        <v>5.2407187189404505</v>
      </c>
      <c r="T75" s="7">
        <f t="shared" si="23"/>
        <v>6.082163803578116E-2</v>
      </c>
      <c r="U75" s="5"/>
      <c r="V75" s="5"/>
      <c r="W75" s="5"/>
    </row>
    <row r="76" spans="1:24" hidden="1" x14ac:dyDescent="0.25">
      <c r="A76" t="str">
        <f t="shared" si="8"/>
        <v>43738IFC</v>
      </c>
      <c r="B76" t="str">
        <f t="shared" si="9"/>
        <v>43738Minerva</v>
      </c>
      <c r="C76" s="4">
        <v>43738</v>
      </c>
      <c r="D76" t="s">
        <v>20</v>
      </c>
      <c r="E76" t="s">
        <v>28</v>
      </c>
      <c r="F76" t="s">
        <v>32</v>
      </c>
      <c r="G76" t="s">
        <v>23</v>
      </c>
      <c r="H76" s="5">
        <v>17215</v>
      </c>
      <c r="I76" s="4">
        <v>43570</v>
      </c>
      <c r="J76" t="s">
        <v>24</v>
      </c>
      <c r="K76" s="10">
        <v>2.35E-2</v>
      </c>
      <c r="L76" s="7">
        <f>(1+3%)*(1+K76)-1</f>
        <v>5.4205000000000059E-2</v>
      </c>
      <c r="M76" s="8">
        <f t="shared" si="24"/>
        <v>-0.46027397260273972</v>
      </c>
      <c r="N76">
        <f t="shared" si="25"/>
        <v>2019</v>
      </c>
      <c r="O76" s="8">
        <f t="shared" si="26"/>
        <v>-7923.6164383561645</v>
      </c>
      <c r="P76" s="9">
        <f t="shared" si="27"/>
        <v>933.13907500000096</v>
      </c>
      <c r="Q76" s="5">
        <f t="shared" si="28"/>
        <v>933.13907500000096</v>
      </c>
      <c r="R76" s="5">
        <f t="shared" si="29"/>
        <v>233.28476875000024</v>
      </c>
      <c r="S76" s="8">
        <f t="shared" si="22"/>
        <v>5.2407187189404505</v>
      </c>
      <c r="T76" s="7">
        <f t="shared" si="23"/>
        <v>6.082163803578116E-2</v>
      </c>
      <c r="U76" s="5"/>
      <c r="V76" s="5"/>
      <c r="W76" s="5"/>
    </row>
    <row r="77" spans="1:24" hidden="1" x14ac:dyDescent="0.25">
      <c r="A77" t="str">
        <f t="shared" si="8"/>
        <v>43738IFC</v>
      </c>
      <c r="B77" t="str">
        <f t="shared" si="9"/>
        <v>43738Minerva</v>
      </c>
      <c r="C77" s="4">
        <v>43738</v>
      </c>
      <c r="D77" t="s">
        <v>20</v>
      </c>
      <c r="E77" t="s">
        <v>28</v>
      </c>
      <c r="F77" t="s">
        <v>32</v>
      </c>
      <c r="G77" t="s">
        <v>23</v>
      </c>
      <c r="H77" s="5">
        <f>8607--2797</f>
        <v>11404</v>
      </c>
      <c r="I77" s="4">
        <v>43936</v>
      </c>
      <c r="J77" t="s">
        <v>24</v>
      </c>
      <c r="K77" s="10">
        <v>2.35E-2</v>
      </c>
      <c r="L77" s="7">
        <f>(1+3%)*(1+K77)-1</f>
        <v>5.4205000000000059E-2</v>
      </c>
      <c r="M77" s="8">
        <f t="shared" si="24"/>
        <v>0.54246575342465753</v>
      </c>
      <c r="N77">
        <f t="shared" si="25"/>
        <v>2020</v>
      </c>
      <c r="O77" s="8">
        <f t="shared" si="26"/>
        <v>6186.2794520547941</v>
      </c>
      <c r="P77" s="9">
        <f t="shared" si="27"/>
        <v>618.15382000000068</v>
      </c>
      <c r="Q77" s="5">
        <f t="shared" si="28"/>
        <v>618.15382000000068</v>
      </c>
      <c r="R77" s="5">
        <f t="shared" si="29"/>
        <v>154.53845500000017</v>
      </c>
      <c r="S77" s="8">
        <f t="shared" si="22"/>
        <v>5.2407187189404505</v>
      </c>
      <c r="T77" s="7">
        <f t="shared" si="23"/>
        <v>6.082163803578116E-2</v>
      </c>
      <c r="U77" s="5"/>
      <c r="V77" s="5"/>
      <c r="W77" s="5"/>
    </row>
    <row r="78" spans="1:24" hidden="1" x14ac:dyDescent="0.25">
      <c r="A78" t="str">
        <f t="shared" si="8"/>
        <v>43738IFC</v>
      </c>
      <c r="B78" t="str">
        <f t="shared" si="9"/>
        <v>43738Minerva</v>
      </c>
      <c r="C78" s="4">
        <v>43738</v>
      </c>
      <c r="D78" t="s">
        <v>20</v>
      </c>
      <c r="E78" t="s">
        <v>28</v>
      </c>
      <c r="F78" t="s">
        <v>32</v>
      </c>
      <c r="G78" t="s">
        <v>23</v>
      </c>
      <c r="H78" s="5">
        <v>17215</v>
      </c>
      <c r="I78" s="4">
        <v>44301</v>
      </c>
      <c r="J78" t="s">
        <v>24</v>
      </c>
      <c r="K78" s="10">
        <v>2.35E-2</v>
      </c>
      <c r="L78" s="7">
        <f>(1+3%)*(1+K78)-1</f>
        <v>5.4205000000000059E-2</v>
      </c>
      <c r="M78" s="8">
        <f t="shared" si="24"/>
        <v>1.5424657534246575</v>
      </c>
      <c r="N78">
        <f t="shared" si="25"/>
        <v>2021</v>
      </c>
      <c r="O78" s="8">
        <f t="shared" si="26"/>
        <v>26553.547945205479</v>
      </c>
      <c r="P78" s="9">
        <f t="shared" si="27"/>
        <v>933.13907500000096</v>
      </c>
      <c r="Q78" s="5">
        <f t="shared" si="28"/>
        <v>933.13907500000096</v>
      </c>
      <c r="R78" s="5">
        <f t="shared" si="29"/>
        <v>233.28476875000024</v>
      </c>
      <c r="S78" s="8">
        <f t="shared" si="22"/>
        <v>5.2407187189404505</v>
      </c>
      <c r="T78" s="7">
        <f t="shared" si="23"/>
        <v>6.082163803578116E-2</v>
      </c>
      <c r="U78" s="5"/>
      <c r="V78" s="5"/>
      <c r="W78" s="5"/>
    </row>
    <row r="79" spans="1:24" hidden="1" x14ac:dyDescent="0.25">
      <c r="A79" t="str">
        <f t="shared" si="8"/>
        <v>43738IFC</v>
      </c>
      <c r="B79" t="str">
        <f t="shared" si="9"/>
        <v>43738Minerva</v>
      </c>
      <c r="C79" s="4">
        <v>43738</v>
      </c>
      <c r="D79" t="s">
        <v>20</v>
      </c>
      <c r="E79" t="s">
        <v>28</v>
      </c>
      <c r="F79" t="s">
        <v>32</v>
      </c>
      <c r="G79" t="s">
        <v>23</v>
      </c>
      <c r="H79" s="5">
        <v>17215</v>
      </c>
      <c r="I79" s="4">
        <v>44666</v>
      </c>
      <c r="J79" t="s">
        <v>24</v>
      </c>
      <c r="K79" s="10">
        <v>2.35E-2</v>
      </c>
      <c r="L79" s="7">
        <f>(1+3%)*(1+K79)-1</f>
        <v>5.4205000000000059E-2</v>
      </c>
      <c r="M79" s="8">
        <f t="shared" si="24"/>
        <v>2.5424657534246577</v>
      </c>
      <c r="N79">
        <f t="shared" si="25"/>
        <v>2022</v>
      </c>
      <c r="O79" s="8">
        <f t="shared" si="26"/>
        <v>43768.547945205486</v>
      </c>
      <c r="P79" s="9">
        <f t="shared" si="27"/>
        <v>933.13907500000096</v>
      </c>
      <c r="Q79" s="5">
        <f t="shared" si="28"/>
        <v>933.13907500000096</v>
      </c>
      <c r="R79" s="5">
        <f t="shared" si="29"/>
        <v>233.28476875000024</v>
      </c>
      <c r="S79" s="8">
        <f t="shared" si="22"/>
        <v>5.2407187189404505</v>
      </c>
      <c r="T79" s="7">
        <f t="shared" si="23"/>
        <v>6.082163803578116E-2</v>
      </c>
      <c r="U79" s="5"/>
      <c r="V79" s="5"/>
      <c r="W79" s="5"/>
      <c r="X79" s="9"/>
    </row>
    <row r="80" spans="1:24" hidden="1" x14ac:dyDescent="0.25">
      <c r="A80" t="str">
        <f t="shared" si="8"/>
        <v>43738IFC</v>
      </c>
      <c r="B80" t="str">
        <f t="shared" si="9"/>
        <v>43738Minerva</v>
      </c>
      <c r="C80" s="4">
        <v>43738</v>
      </c>
      <c r="D80" t="s">
        <v>20</v>
      </c>
      <c r="E80" t="s">
        <v>28</v>
      </c>
      <c r="F80" t="s">
        <v>32</v>
      </c>
      <c r="G80" t="s">
        <v>23</v>
      </c>
      <c r="H80" s="5">
        <v>8607</v>
      </c>
      <c r="I80" s="4">
        <v>45031</v>
      </c>
      <c r="J80" t="s">
        <v>24</v>
      </c>
      <c r="K80" s="10">
        <v>2.35E-2</v>
      </c>
      <c r="L80" s="7">
        <f>(1+3%)*(1+K80)-1</f>
        <v>5.4205000000000059E-2</v>
      </c>
      <c r="M80" s="8">
        <f t="shared" si="24"/>
        <v>3.5424657534246577</v>
      </c>
      <c r="N80">
        <f t="shared" si="25"/>
        <v>2023</v>
      </c>
      <c r="O80" s="8">
        <f t="shared" si="26"/>
        <v>30490.002739726031</v>
      </c>
      <c r="P80" s="9">
        <f t="shared" si="27"/>
        <v>466.54243500000052</v>
      </c>
      <c r="Q80" s="5">
        <f t="shared" si="28"/>
        <v>466.54243500000052</v>
      </c>
      <c r="R80" s="5">
        <f t="shared" si="29"/>
        <v>116.63560875000013</v>
      </c>
      <c r="S80" s="8">
        <f t="shared" si="22"/>
        <v>5.2407187189404505</v>
      </c>
      <c r="T80" s="7">
        <f t="shared" si="23"/>
        <v>6.082163803578116E-2</v>
      </c>
      <c r="U80" s="5"/>
      <c r="V80" s="5"/>
      <c r="W80" s="5"/>
      <c r="X80" s="9"/>
    </row>
    <row r="81" spans="1:23" hidden="1" x14ac:dyDescent="0.25">
      <c r="A81" t="str">
        <f t="shared" si="8"/>
        <v>43738ACC</v>
      </c>
      <c r="B81" t="str">
        <f t="shared" si="9"/>
        <v>43738Minerva</v>
      </c>
      <c r="C81" s="4">
        <v>43738</v>
      </c>
      <c r="D81" t="s">
        <v>20</v>
      </c>
      <c r="E81" t="s">
        <v>33</v>
      </c>
      <c r="F81" t="s">
        <v>33</v>
      </c>
      <c r="G81" t="s">
        <v>34</v>
      </c>
      <c r="H81" s="5">
        <v>546906</v>
      </c>
      <c r="I81" s="4">
        <v>43983</v>
      </c>
      <c r="J81" t="s">
        <v>30</v>
      </c>
      <c r="K81" s="10">
        <v>6.5000000000000002E-2</v>
      </c>
      <c r="L81" s="10">
        <v>5.5E-2</v>
      </c>
      <c r="M81" s="8">
        <f t="shared" si="24"/>
        <v>0.67123287671232879</v>
      </c>
      <c r="N81">
        <f t="shared" si="25"/>
        <v>2020</v>
      </c>
      <c r="O81" s="8">
        <f t="shared" si="26"/>
        <v>367101.28767123289</v>
      </c>
      <c r="P81" s="9">
        <f t="shared" si="27"/>
        <v>30079.83</v>
      </c>
      <c r="Q81" s="5">
        <f t="shared" si="28"/>
        <v>30079.83</v>
      </c>
      <c r="R81" s="5">
        <f t="shared" si="29"/>
        <v>7519.9575000000004</v>
      </c>
      <c r="S81" s="8">
        <f t="shared" si="22"/>
        <v>5.2407187189404505</v>
      </c>
      <c r="T81" s="7">
        <f t="shared" si="23"/>
        <v>6.082163803578116E-2</v>
      </c>
      <c r="U81" s="9"/>
      <c r="V81" s="9"/>
      <c r="W81" s="8"/>
    </row>
    <row r="82" spans="1:23" hidden="1" x14ac:dyDescent="0.25">
      <c r="A82" t="str">
        <f t="shared" si="8"/>
        <v>43738ACC</v>
      </c>
      <c r="B82" t="str">
        <f t="shared" si="9"/>
        <v>43738Minerva</v>
      </c>
      <c r="C82" s="4">
        <v>43738</v>
      </c>
      <c r="D82" t="s">
        <v>20</v>
      </c>
      <c r="E82" t="s">
        <v>33</v>
      </c>
      <c r="F82" t="s">
        <v>33</v>
      </c>
      <c r="G82" t="s">
        <v>34</v>
      </c>
      <c r="H82" s="5">
        <v>646200</v>
      </c>
      <c r="I82" s="4">
        <v>43830</v>
      </c>
      <c r="J82" t="s">
        <v>30</v>
      </c>
      <c r="K82" s="10">
        <v>6.5000000000000002E-2</v>
      </c>
      <c r="L82" s="10">
        <v>5.5E-2</v>
      </c>
      <c r="M82" s="8">
        <f t="shared" si="24"/>
        <v>0.25205479452054796</v>
      </c>
      <c r="N82">
        <f t="shared" si="25"/>
        <v>2019</v>
      </c>
      <c r="O82" s="8">
        <f t="shared" si="26"/>
        <v>162877.80821917808</v>
      </c>
      <c r="P82" s="9">
        <f t="shared" si="27"/>
        <v>35541</v>
      </c>
      <c r="Q82" s="5">
        <f t="shared" si="28"/>
        <v>35541</v>
      </c>
      <c r="R82" s="5">
        <f t="shared" si="29"/>
        <v>8885.25</v>
      </c>
      <c r="S82" s="8">
        <f t="shared" si="22"/>
        <v>5.2407187189404505</v>
      </c>
      <c r="T82" s="7">
        <f t="shared" si="23"/>
        <v>6.082163803578116E-2</v>
      </c>
    </row>
    <row r="83" spans="1:23" hidden="1" x14ac:dyDescent="0.25">
      <c r="A83" t="str">
        <f t="shared" si="8"/>
        <v>43738Bond</v>
      </c>
      <c r="B83" t="str">
        <f t="shared" si="9"/>
        <v>43738Minerva</v>
      </c>
      <c r="C83" s="4">
        <v>43738</v>
      </c>
      <c r="D83" t="s">
        <v>20</v>
      </c>
      <c r="E83" t="s">
        <v>35</v>
      </c>
      <c r="F83" t="s">
        <v>35</v>
      </c>
      <c r="G83" t="s">
        <v>34</v>
      </c>
      <c r="H83" s="5">
        <v>102071</v>
      </c>
      <c r="I83" s="4">
        <v>44002</v>
      </c>
      <c r="J83" t="s">
        <v>30</v>
      </c>
      <c r="K83" s="10">
        <v>6.5000000000000002E-2</v>
      </c>
      <c r="L83" s="10">
        <v>6.5000000000000002E-2</v>
      </c>
      <c r="M83" s="8">
        <f t="shared" si="24"/>
        <v>0.72328767123287674</v>
      </c>
      <c r="N83">
        <f t="shared" si="25"/>
        <v>2020</v>
      </c>
      <c r="O83" s="8">
        <f t="shared" si="26"/>
        <v>73826.695890410963</v>
      </c>
      <c r="P83" s="9">
        <f t="shared" si="27"/>
        <v>6634.6149999999998</v>
      </c>
      <c r="Q83" s="5">
        <f t="shared" si="28"/>
        <v>6634.6149999999998</v>
      </c>
      <c r="R83" s="5">
        <f t="shared" si="29"/>
        <v>1658.6537499999999</v>
      </c>
      <c r="S83" s="8">
        <f t="shared" si="22"/>
        <v>5.2407187189404505</v>
      </c>
      <c r="T83" s="7">
        <f t="shared" si="23"/>
        <v>6.082163803578116E-2</v>
      </c>
    </row>
    <row r="84" spans="1:23" hidden="1" x14ac:dyDescent="0.25">
      <c r="A84" t="str">
        <f t="shared" si="8"/>
        <v>43738Bond</v>
      </c>
      <c r="B84" t="str">
        <f t="shared" si="9"/>
        <v>43738Minerva</v>
      </c>
      <c r="C84" s="4">
        <v>43738</v>
      </c>
      <c r="D84" t="s">
        <v>20</v>
      </c>
      <c r="E84" t="s">
        <v>35</v>
      </c>
      <c r="F84" t="s">
        <v>35</v>
      </c>
      <c r="G84" t="s">
        <v>34</v>
      </c>
      <c r="H84" s="5">
        <v>4891593</v>
      </c>
      <c r="I84" s="4">
        <v>46285</v>
      </c>
      <c r="J84" t="s">
        <v>30</v>
      </c>
      <c r="K84" s="10">
        <v>6.5000000000000002E-2</v>
      </c>
      <c r="L84" s="10">
        <v>6.5000000000000002E-2</v>
      </c>
      <c r="M84" s="8">
        <f t="shared" si="24"/>
        <v>6.978082191780822</v>
      </c>
      <c r="N84">
        <f t="shared" si="25"/>
        <v>2026</v>
      </c>
      <c r="O84" s="8">
        <f t="shared" si="26"/>
        <v>34133938.002739727</v>
      </c>
      <c r="P84" s="9">
        <f t="shared" si="27"/>
        <v>317953.54499999998</v>
      </c>
      <c r="Q84" s="5">
        <f t="shared" si="28"/>
        <v>317953.54499999998</v>
      </c>
      <c r="R84" s="5">
        <f t="shared" si="29"/>
        <v>79488.386249999996</v>
      </c>
      <c r="S84" s="8">
        <f t="shared" si="22"/>
        <v>5.2407187189404505</v>
      </c>
      <c r="T84" s="7">
        <f t="shared" si="23"/>
        <v>6.082163803578116E-2</v>
      </c>
    </row>
    <row r="85" spans="1:23" hidden="1" x14ac:dyDescent="0.25">
      <c r="A85" t="str">
        <f t="shared" si="8"/>
        <v>43738Bond</v>
      </c>
      <c r="B85" t="str">
        <f t="shared" si="9"/>
        <v>43738Minerva</v>
      </c>
      <c r="C85" s="4">
        <v>43738</v>
      </c>
      <c r="D85" t="s">
        <v>20</v>
      </c>
      <c r="E85" t="s">
        <v>35</v>
      </c>
      <c r="F85" t="s">
        <v>35</v>
      </c>
      <c r="G85" t="s">
        <v>34</v>
      </c>
      <c r="H85" s="5">
        <v>1824374</v>
      </c>
      <c r="I85" s="4">
        <v>47016</v>
      </c>
      <c r="J85" t="s">
        <v>30</v>
      </c>
      <c r="K85" s="10">
        <v>5.8749999999999997E-2</v>
      </c>
      <c r="L85" s="10">
        <v>6.5000000000000002E-2</v>
      </c>
      <c r="M85" s="8">
        <f t="shared" si="24"/>
        <v>8.9808219178082194</v>
      </c>
      <c r="N85">
        <f t="shared" si="25"/>
        <v>2028</v>
      </c>
      <c r="O85" s="8">
        <f t="shared" si="26"/>
        <v>16384378.005479453</v>
      </c>
      <c r="P85" s="9">
        <f t="shared" si="27"/>
        <v>118584.31</v>
      </c>
      <c r="Q85" s="5">
        <f t="shared" si="28"/>
        <v>118584.31</v>
      </c>
      <c r="R85" s="5">
        <f t="shared" si="29"/>
        <v>29646.077499999999</v>
      </c>
      <c r="S85" s="8">
        <f t="shared" si="22"/>
        <v>5.2407187189404505</v>
      </c>
      <c r="T85" s="7">
        <f t="shared" si="23"/>
        <v>6.082163803578116E-2</v>
      </c>
    </row>
    <row r="86" spans="1:23" hidden="1" x14ac:dyDescent="0.25">
      <c r="A86" t="str">
        <f t="shared" si="8"/>
        <v>43738PPE</v>
      </c>
      <c r="B86" t="str">
        <f t="shared" si="9"/>
        <v>43738Minerva</v>
      </c>
      <c r="C86" s="4">
        <v>43738</v>
      </c>
      <c r="D86" t="s">
        <v>20</v>
      </c>
      <c r="E86" t="s">
        <v>36</v>
      </c>
      <c r="F86" t="s">
        <v>36</v>
      </c>
      <c r="G86" t="s">
        <v>34</v>
      </c>
      <c r="H86" s="5">
        <v>499728</v>
      </c>
      <c r="I86" s="4">
        <v>44348</v>
      </c>
      <c r="J86" t="s">
        <v>37</v>
      </c>
      <c r="K86" s="12">
        <v>0.02</v>
      </c>
      <c r="L86" s="7">
        <v>3.9E-2</v>
      </c>
      <c r="M86" s="8">
        <f t="shared" si="24"/>
        <v>1.6712328767123288</v>
      </c>
      <c r="N86">
        <f t="shared" si="25"/>
        <v>2021</v>
      </c>
      <c r="O86" s="8">
        <f t="shared" si="26"/>
        <v>835161.8630136986</v>
      </c>
      <c r="P86" s="9">
        <f t="shared" si="27"/>
        <v>19489.392</v>
      </c>
      <c r="Q86" s="5">
        <f t="shared" si="28"/>
        <v>19489.392</v>
      </c>
      <c r="R86" s="5">
        <f t="shared" si="29"/>
        <v>4872.348</v>
      </c>
      <c r="S86" s="8">
        <f t="shared" si="22"/>
        <v>5.2407187189404505</v>
      </c>
      <c r="T86" s="7">
        <f t="shared" si="23"/>
        <v>6.082163803578116E-2</v>
      </c>
    </row>
    <row r="87" spans="1:23" hidden="1" x14ac:dyDescent="0.25">
      <c r="A87" t="str">
        <f t="shared" si="8"/>
        <v>43738CCE</v>
      </c>
      <c r="B87" t="str">
        <f t="shared" si="9"/>
        <v>43738Minerva</v>
      </c>
      <c r="C87" s="4">
        <v>43738</v>
      </c>
      <c r="D87" t="s">
        <v>20</v>
      </c>
      <c r="E87" t="s">
        <v>28</v>
      </c>
      <c r="F87" t="s">
        <v>38</v>
      </c>
      <c r="G87" t="s">
        <v>34</v>
      </c>
      <c r="H87" s="5">
        <v>108123</v>
      </c>
      <c r="I87" s="4">
        <v>43983</v>
      </c>
      <c r="J87" t="s">
        <v>30</v>
      </c>
      <c r="K87" s="10">
        <v>6.5000000000000002E-2</v>
      </c>
      <c r="L87" s="10">
        <v>6.5000000000000002E-2</v>
      </c>
      <c r="M87" s="8">
        <f t="shared" si="24"/>
        <v>0.67123287671232879</v>
      </c>
      <c r="N87">
        <f t="shared" si="25"/>
        <v>2020</v>
      </c>
      <c r="O87" s="8">
        <f t="shared" si="26"/>
        <v>72575.712328767127</v>
      </c>
      <c r="P87" s="9">
        <f t="shared" si="27"/>
        <v>7027.9949999999999</v>
      </c>
      <c r="Q87" s="5">
        <f t="shared" si="28"/>
        <v>7027.9949999999999</v>
      </c>
      <c r="R87" s="5">
        <f t="shared" si="29"/>
        <v>1756.99875</v>
      </c>
      <c r="S87" s="8">
        <f t="shared" si="22"/>
        <v>5.2407187189404505</v>
      </c>
      <c r="T87" s="7">
        <f t="shared" si="23"/>
        <v>6.082163803578116E-2</v>
      </c>
    </row>
    <row r="88" spans="1:23" hidden="1" x14ac:dyDescent="0.25">
      <c r="A88" t="str">
        <f t="shared" si="8"/>
        <v>43738Secured Loan</v>
      </c>
      <c r="B88" t="str">
        <f t="shared" si="9"/>
        <v>43738Minerva</v>
      </c>
      <c r="C88" s="4">
        <v>43738</v>
      </c>
      <c r="D88" t="s">
        <v>20</v>
      </c>
      <c r="E88" t="s">
        <v>28</v>
      </c>
      <c r="F88" t="s">
        <v>39</v>
      </c>
      <c r="G88" t="s">
        <v>34</v>
      </c>
      <c r="H88" s="5">
        <f>245+1056</f>
        <v>1301</v>
      </c>
      <c r="I88" s="4">
        <v>43983</v>
      </c>
      <c r="J88" t="s">
        <v>30</v>
      </c>
      <c r="K88" s="10">
        <v>6.5000000000000002E-2</v>
      </c>
      <c r="L88" s="10">
        <v>6.5000000000000002E-2</v>
      </c>
      <c r="M88" s="8">
        <f t="shared" si="24"/>
        <v>0.67123287671232879</v>
      </c>
      <c r="N88">
        <f t="shared" si="25"/>
        <v>2020</v>
      </c>
      <c r="O88" s="8">
        <f t="shared" si="26"/>
        <v>873.27397260273972</v>
      </c>
      <c r="P88" s="9">
        <f t="shared" si="27"/>
        <v>84.564999999999998</v>
      </c>
      <c r="Q88" s="5">
        <f t="shared" si="28"/>
        <v>84.564999999999998</v>
      </c>
      <c r="R88" s="5">
        <f t="shared" si="29"/>
        <v>21.141249999999999</v>
      </c>
      <c r="S88" s="8">
        <f t="shared" si="22"/>
        <v>5.2407187189404505</v>
      </c>
      <c r="T88" s="7">
        <f t="shared" si="23"/>
        <v>6.082163803578116E-2</v>
      </c>
    </row>
    <row r="89" spans="1:23" hidden="1" x14ac:dyDescent="0.25">
      <c r="A89" t="str">
        <f t="shared" si="8"/>
        <v>43738Secured Loan</v>
      </c>
      <c r="B89" t="str">
        <f t="shared" si="9"/>
        <v>43738Minerva</v>
      </c>
      <c r="C89" s="4">
        <v>43738</v>
      </c>
      <c r="D89" t="s">
        <v>20</v>
      </c>
      <c r="E89" t="s">
        <v>28</v>
      </c>
      <c r="F89" t="s">
        <v>39</v>
      </c>
      <c r="G89" t="s">
        <v>34</v>
      </c>
      <c r="H89" s="5">
        <v>1026</v>
      </c>
      <c r="I89" s="4">
        <v>44348</v>
      </c>
      <c r="J89" t="s">
        <v>30</v>
      </c>
      <c r="K89" s="10">
        <v>6.5000000000000002E-2</v>
      </c>
      <c r="L89" s="10">
        <v>6.5000000000000002E-2</v>
      </c>
      <c r="M89" s="8">
        <f t="shared" si="24"/>
        <v>1.6712328767123288</v>
      </c>
      <c r="N89">
        <f t="shared" si="25"/>
        <v>2021</v>
      </c>
      <c r="O89" s="8">
        <f t="shared" si="26"/>
        <v>1714.6849315068494</v>
      </c>
      <c r="P89" s="9">
        <f t="shared" si="27"/>
        <v>66.69</v>
      </c>
      <c r="Q89" s="5">
        <f t="shared" si="28"/>
        <v>66.69</v>
      </c>
      <c r="R89" s="5">
        <f t="shared" si="29"/>
        <v>16.672499999999999</v>
      </c>
      <c r="S89" s="8">
        <f t="shared" si="22"/>
        <v>5.2407187189404505</v>
      </c>
      <c r="T89" s="7">
        <f t="shared" si="23"/>
        <v>6.082163803578116E-2</v>
      </c>
    </row>
    <row r="90" spans="1:23" hidden="1" x14ac:dyDescent="0.25">
      <c r="A90" t="str">
        <f t="shared" si="8"/>
        <v>43738Secured Loan</v>
      </c>
      <c r="B90" t="str">
        <f t="shared" si="9"/>
        <v>43738Minerva</v>
      </c>
      <c r="C90" s="4">
        <v>43738</v>
      </c>
      <c r="D90" t="s">
        <v>20</v>
      </c>
      <c r="E90" t="s">
        <v>28</v>
      </c>
      <c r="F90" t="s">
        <v>39</v>
      </c>
      <c r="G90" t="s">
        <v>34</v>
      </c>
      <c r="H90" s="5">
        <v>1015</v>
      </c>
      <c r="I90" s="4">
        <v>44713</v>
      </c>
      <c r="J90" t="s">
        <v>30</v>
      </c>
      <c r="K90" s="10">
        <v>6.5000000000000002E-2</v>
      </c>
      <c r="L90" s="10">
        <v>6.5000000000000002E-2</v>
      </c>
      <c r="M90" s="8">
        <f t="shared" si="24"/>
        <v>2.6712328767123288</v>
      </c>
      <c r="N90">
        <f t="shared" si="25"/>
        <v>2022</v>
      </c>
      <c r="O90" s="8">
        <f t="shared" si="26"/>
        <v>2711.3013698630139</v>
      </c>
      <c r="P90" s="9">
        <f t="shared" si="27"/>
        <v>65.975000000000009</v>
      </c>
      <c r="Q90" s="5">
        <f t="shared" si="28"/>
        <v>65.975000000000009</v>
      </c>
      <c r="R90" s="5">
        <f t="shared" si="29"/>
        <v>16.493750000000002</v>
      </c>
      <c r="S90" s="8">
        <f t="shared" si="22"/>
        <v>5.2407187189404505</v>
      </c>
      <c r="T90" s="7">
        <f t="shared" si="23"/>
        <v>6.082163803578116E-2</v>
      </c>
      <c r="V90" s="9"/>
    </row>
    <row r="91" spans="1:23" hidden="1" x14ac:dyDescent="0.25">
      <c r="A91" t="str">
        <f t="shared" si="8"/>
        <v>43738Secured Loan</v>
      </c>
      <c r="B91" t="str">
        <f t="shared" si="9"/>
        <v>43738Minerva</v>
      </c>
      <c r="C91" s="4">
        <v>43738</v>
      </c>
      <c r="D91" t="s">
        <v>20</v>
      </c>
      <c r="E91" t="s">
        <v>28</v>
      </c>
      <c r="F91" t="s">
        <v>39</v>
      </c>
      <c r="G91" t="s">
        <v>34</v>
      </c>
      <c r="H91" s="5">
        <v>1190</v>
      </c>
      <c r="I91" s="4">
        <v>45078</v>
      </c>
      <c r="J91" t="s">
        <v>30</v>
      </c>
      <c r="K91" s="10">
        <v>6.5000000000000002E-2</v>
      </c>
      <c r="L91" s="10">
        <v>6.5000000000000002E-2</v>
      </c>
      <c r="M91" s="8">
        <f t="shared" si="24"/>
        <v>3.6712328767123288</v>
      </c>
      <c r="N91">
        <f t="shared" si="25"/>
        <v>2023</v>
      </c>
      <c r="O91" s="8">
        <f t="shared" si="26"/>
        <v>4368.767123287671</v>
      </c>
      <c r="P91" s="9">
        <f t="shared" si="27"/>
        <v>77.350000000000009</v>
      </c>
      <c r="Q91" s="5">
        <f t="shared" si="28"/>
        <v>77.350000000000009</v>
      </c>
      <c r="R91" s="5">
        <f t="shared" si="29"/>
        <v>19.337500000000002</v>
      </c>
      <c r="S91" s="8">
        <f t="shared" si="22"/>
        <v>5.2407187189404505</v>
      </c>
      <c r="T91" s="7">
        <f t="shared" si="23"/>
        <v>6.082163803578116E-2</v>
      </c>
    </row>
    <row r="92" spans="1:23" hidden="1" x14ac:dyDescent="0.25">
      <c r="A92" t="str">
        <f t="shared" si="8"/>
        <v>43738Secured Loan</v>
      </c>
      <c r="B92" t="str">
        <f t="shared" si="9"/>
        <v>43738Minerva</v>
      </c>
      <c r="C92" s="4">
        <v>43738</v>
      </c>
      <c r="D92" t="s">
        <v>20</v>
      </c>
      <c r="E92" t="s">
        <v>28</v>
      </c>
      <c r="F92" t="s">
        <v>39</v>
      </c>
      <c r="G92" t="s">
        <v>34</v>
      </c>
      <c r="H92" s="5">
        <v>1282</v>
      </c>
      <c r="I92" s="4">
        <v>45444</v>
      </c>
      <c r="J92" t="s">
        <v>30</v>
      </c>
      <c r="K92" s="10">
        <v>6.5000000000000002E-2</v>
      </c>
      <c r="L92" s="10">
        <v>6.5000000000000002E-2</v>
      </c>
      <c r="M92" s="8">
        <f t="shared" si="24"/>
        <v>4.6739726027397257</v>
      </c>
      <c r="N92">
        <f t="shared" si="25"/>
        <v>2024</v>
      </c>
      <c r="O92" s="8">
        <f t="shared" si="26"/>
        <v>5992.0328767123283</v>
      </c>
      <c r="P92" s="9">
        <f t="shared" si="27"/>
        <v>83.33</v>
      </c>
      <c r="Q92" s="5">
        <f t="shared" si="28"/>
        <v>83.33</v>
      </c>
      <c r="R92" s="5">
        <f t="shared" si="29"/>
        <v>20.8325</v>
      </c>
      <c r="S92" s="8">
        <f t="shared" si="22"/>
        <v>5.2407187189404505</v>
      </c>
      <c r="T92" s="7">
        <f t="shared" si="23"/>
        <v>6.082163803578116E-2</v>
      </c>
    </row>
    <row r="93" spans="1:23" hidden="1" x14ac:dyDescent="0.25">
      <c r="A93" t="str">
        <f t="shared" si="8"/>
        <v>43738Secured Loan</v>
      </c>
      <c r="B93" t="str">
        <f t="shared" si="9"/>
        <v>43738Minerva</v>
      </c>
      <c r="C93" s="4">
        <v>43738</v>
      </c>
      <c r="D93" t="s">
        <v>20</v>
      </c>
      <c r="E93" t="s">
        <v>28</v>
      </c>
      <c r="F93" t="s">
        <v>39</v>
      </c>
      <c r="G93" t="s">
        <v>34</v>
      </c>
      <c r="H93" s="5">
        <v>1381</v>
      </c>
      <c r="I93" s="4">
        <v>45809</v>
      </c>
      <c r="J93" t="s">
        <v>30</v>
      </c>
      <c r="K93" s="10">
        <v>6.5000000000000002E-2</v>
      </c>
      <c r="L93" s="10">
        <v>6.5000000000000002E-2</v>
      </c>
      <c r="M93" s="8">
        <f t="shared" si="24"/>
        <v>5.6739726027397257</v>
      </c>
      <c r="N93">
        <f t="shared" si="25"/>
        <v>2025</v>
      </c>
      <c r="O93" s="8">
        <f t="shared" si="26"/>
        <v>7835.7561643835616</v>
      </c>
      <c r="P93" s="9">
        <f t="shared" si="27"/>
        <v>89.765000000000001</v>
      </c>
      <c r="Q93" s="5">
        <f t="shared" si="28"/>
        <v>89.765000000000001</v>
      </c>
      <c r="R93" s="5">
        <f t="shared" si="29"/>
        <v>22.44125</v>
      </c>
      <c r="S93" s="8">
        <f t="shared" si="22"/>
        <v>5.2407187189404505</v>
      </c>
      <c r="T93" s="7">
        <f t="shared" si="23"/>
        <v>6.082163803578116E-2</v>
      </c>
    </row>
    <row r="94" spans="1:23" hidden="1" x14ac:dyDescent="0.25">
      <c r="A94" t="str">
        <f t="shared" si="8"/>
        <v>43738Secured Loan</v>
      </c>
      <c r="B94" t="str">
        <f t="shared" si="9"/>
        <v>43738Minerva</v>
      </c>
      <c r="C94" s="4">
        <v>43738</v>
      </c>
      <c r="D94" t="s">
        <v>20</v>
      </c>
      <c r="E94" t="s">
        <v>28</v>
      </c>
      <c r="F94" t="s">
        <v>39</v>
      </c>
      <c r="G94" t="s">
        <v>34</v>
      </c>
      <c r="H94" s="5">
        <v>1488</v>
      </c>
      <c r="I94" s="4">
        <v>46174</v>
      </c>
      <c r="J94" t="s">
        <v>30</v>
      </c>
      <c r="K94" s="10">
        <v>6.5000000000000002E-2</v>
      </c>
      <c r="L94" s="10">
        <v>6.5000000000000002E-2</v>
      </c>
      <c r="M94" s="8">
        <f t="shared" si="24"/>
        <v>6.6739726027397257</v>
      </c>
      <c r="N94">
        <f t="shared" si="25"/>
        <v>2026</v>
      </c>
      <c r="O94" s="8">
        <f t="shared" si="26"/>
        <v>9930.8712328767124</v>
      </c>
      <c r="P94" s="9">
        <f t="shared" si="27"/>
        <v>96.72</v>
      </c>
      <c r="Q94" s="5">
        <f t="shared" si="28"/>
        <v>96.72</v>
      </c>
      <c r="R94" s="5">
        <f t="shared" si="29"/>
        <v>24.18</v>
      </c>
      <c r="S94" s="8">
        <f t="shared" si="22"/>
        <v>5.2407187189404505</v>
      </c>
      <c r="T94" s="7">
        <f t="shared" si="23"/>
        <v>6.082163803578116E-2</v>
      </c>
    </row>
    <row r="95" spans="1:23" hidden="1" x14ac:dyDescent="0.25">
      <c r="A95" t="str">
        <f t="shared" si="8"/>
        <v>43738Secured Loan</v>
      </c>
      <c r="B95" t="str">
        <f t="shared" si="9"/>
        <v>43738Minerva</v>
      </c>
      <c r="C95" s="4">
        <v>43738</v>
      </c>
      <c r="D95" t="s">
        <v>20</v>
      </c>
      <c r="E95" t="s">
        <v>28</v>
      </c>
      <c r="F95" t="s">
        <v>39</v>
      </c>
      <c r="G95" t="s">
        <v>34</v>
      </c>
      <c r="H95" s="5">
        <v>1651</v>
      </c>
      <c r="I95" s="4">
        <v>46539</v>
      </c>
      <c r="J95" t="s">
        <v>30</v>
      </c>
      <c r="K95" s="10">
        <v>6.5000000000000002E-2</v>
      </c>
      <c r="L95" s="10">
        <v>6.5000000000000002E-2</v>
      </c>
      <c r="M95" s="8">
        <f t="shared" si="24"/>
        <v>7.6739726027397257</v>
      </c>
      <c r="N95">
        <f t="shared" si="25"/>
        <v>2027</v>
      </c>
      <c r="O95" s="8">
        <f t="shared" si="26"/>
        <v>12669.728767123288</v>
      </c>
      <c r="P95" s="9">
        <f t="shared" si="27"/>
        <v>107.315</v>
      </c>
      <c r="Q95" s="5">
        <f t="shared" si="28"/>
        <v>107.315</v>
      </c>
      <c r="R95" s="5">
        <f t="shared" si="29"/>
        <v>26.828749999999999</v>
      </c>
      <c r="S95" s="8">
        <f t="shared" si="22"/>
        <v>5.2407187189404505</v>
      </c>
      <c r="T95" s="7">
        <f t="shared" si="23"/>
        <v>6.082163803578116E-2</v>
      </c>
    </row>
    <row r="96" spans="1:23" hidden="1" x14ac:dyDescent="0.25">
      <c r="A96" t="str">
        <f t="shared" si="8"/>
        <v>43738Secured Loan</v>
      </c>
      <c r="B96" t="str">
        <f t="shared" si="9"/>
        <v>43738Minerva</v>
      </c>
      <c r="C96" s="4">
        <v>43738</v>
      </c>
      <c r="D96" t="s">
        <v>20</v>
      </c>
      <c r="E96" t="s">
        <v>28</v>
      </c>
      <c r="F96" t="s">
        <v>39</v>
      </c>
      <c r="G96" t="s">
        <v>34</v>
      </c>
      <c r="H96" s="5">
        <v>1729</v>
      </c>
      <c r="I96" s="4">
        <v>46905</v>
      </c>
      <c r="J96" t="s">
        <v>30</v>
      </c>
      <c r="K96" s="10">
        <v>6.5000000000000002E-2</v>
      </c>
      <c r="L96" s="10">
        <v>6.5000000000000002E-2</v>
      </c>
      <c r="M96" s="8">
        <f t="shared" si="24"/>
        <v>8.6767123287671239</v>
      </c>
      <c r="N96">
        <f t="shared" si="25"/>
        <v>2028</v>
      </c>
      <c r="O96" s="8">
        <f t="shared" si="26"/>
        <v>15002.035616438357</v>
      </c>
      <c r="P96" s="9">
        <f t="shared" si="27"/>
        <v>112.38500000000001</v>
      </c>
      <c r="Q96" s="5">
        <f t="shared" si="28"/>
        <v>112.38500000000001</v>
      </c>
      <c r="R96" s="5">
        <f t="shared" si="29"/>
        <v>28.096250000000001</v>
      </c>
      <c r="S96" s="8">
        <f t="shared" si="22"/>
        <v>5.2407187189404505</v>
      </c>
      <c r="T96" s="7">
        <f t="shared" si="23"/>
        <v>6.082163803578116E-2</v>
      </c>
    </row>
    <row r="97" spans="1:20" hidden="1" x14ac:dyDescent="0.25">
      <c r="A97" t="str">
        <f t="shared" si="8"/>
        <v>43738Secured Loan</v>
      </c>
      <c r="B97" t="str">
        <f t="shared" si="9"/>
        <v>43738Minerva</v>
      </c>
      <c r="C97" s="4">
        <v>43738</v>
      </c>
      <c r="D97" t="s">
        <v>20</v>
      </c>
      <c r="E97" t="s">
        <v>28</v>
      </c>
      <c r="F97" t="s">
        <v>39</v>
      </c>
      <c r="G97" t="s">
        <v>34</v>
      </c>
      <c r="H97" s="5">
        <v>864</v>
      </c>
      <c r="I97" s="4">
        <v>47270</v>
      </c>
      <c r="J97" t="s">
        <v>30</v>
      </c>
      <c r="K97" s="10">
        <v>6.5000000000000002E-2</v>
      </c>
      <c r="L97" s="10">
        <v>6.5000000000000002E-2</v>
      </c>
      <c r="M97" s="8">
        <f t="shared" si="24"/>
        <v>9.6767123287671239</v>
      </c>
      <c r="N97">
        <f t="shared" si="25"/>
        <v>2029</v>
      </c>
      <c r="O97" s="8">
        <f t="shared" si="26"/>
        <v>8360.6794520547955</v>
      </c>
      <c r="P97" s="9">
        <f t="shared" si="27"/>
        <v>56.160000000000004</v>
      </c>
      <c r="Q97" s="5">
        <f t="shared" si="28"/>
        <v>56.160000000000004</v>
      </c>
      <c r="R97" s="5">
        <f t="shared" si="29"/>
        <v>14.040000000000001</v>
      </c>
      <c r="S97" s="8">
        <f t="shared" si="22"/>
        <v>5.2407187189404505</v>
      </c>
      <c r="T97" s="7">
        <f t="shared" si="23"/>
        <v>6.082163803578116E-2</v>
      </c>
    </row>
    <row r="98" spans="1:20" hidden="1" x14ac:dyDescent="0.25">
      <c r="A98" t="str">
        <f t="shared" ref="A98:A161" si="31">C98&amp;F98</f>
        <v>43738Outros</v>
      </c>
      <c r="B98" t="str">
        <f t="shared" ref="B98:B161" si="32">C98&amp;D98</f>
        <v>43738Minerva</v>
      </c>
      <c r="C98" s="4">
        <v>43738</v>
      </c>
      <c r="D98" t="s">
        <v>20</v>
      </c>
      <c r="E98" t="s">
        <v>28</v>
      </c>
      <c r="F98" t="s">
        <v>28</v>
      </c>
      <c r="G98" t="s">
        <v>34</v>
      </c>
      <c r="H98" s="5">
        <v>311405</v>
      </c>
      <c r="I98" s="4">
        <v>43983</v>
      </c>
      <c r="J98" t="s">
        <v>30</v>
      </c>
      <c r="K98" s="10">
        <v>6.5000000000000002E-2</v>
      </c>
      <c r="L98" s="10">
        <v>6.5000000000000002E-2</v>
      </c>
      <c r="M98" s="8">
        <f t="shared" si="24"/>
        <v>0.67123287671232879</v>
      </c>
      <c r="N98">
        <f t="shared" si="25"/>
        <v>2020</v>
      </c>
      <c r="O98" s="8">
        <f t="shared" si="26"/>
        <v>209025.27397260274</v>
      </c>
      <c r="P98" s="9">
        <f t="shared" si="27"/>
        <v>20241.325000000001</v>
      </c>
      <c r="Q98" s="5">
        <f t="shared" si="28"/>
        <v>20241.325000000001</v>
      </c>
      <c r="R98" s="5">
        <f t="shared" si="29"/>
        <v>5060.3312500000002</v>
      </c>
      <c r="S98" s="8">
        <f t="shared" si="22"/>
        <v>5.2407187189404505</v>
      </c>
      <c r="T98" s="7">
        <f t="shared" si="23"/>
        <v>6.082163803578116E-2</v>
      </c>
    </row>
    <row r="99" spans="1:20" hidden="1" x14ac:dyDescent="0.25">
      <c r="A99" t="str">
        <f t="shared" si="31"/>
        <v>43738Derivativos</v>
      </c>
      <c r="B99" t="str">
        <f t="shared" si="32"/>
        <v>43738Minerva</v>
      </c>
      <c r="C99" s="4">
        <v>43738</v>
      </c>
      <c r="D99" t="s">
        <v>20</v>
      </c>
      <c r="E99" t="s">
        <v>28</v>
      </c>
      <c r="F99" t="s">
        <v>40</v>
      </c>
      <c r="G99" t="s">
        <v>23</v>
      </c>
      <c r="H99" s="5">
        <v>-89428</v>
      </c>
      <c r="I99" s="4">
        <v>43983</v>
      </c>
      <c r="J99" t="s">
        <v>30</v>
      </c>
      <c r="K99" s="10">
        <v>6.5000000000000002E-2</v>
      </c>
      <c r="L99" s="10">
        <v>6.5000000000000002E-2</v>
      </c>
      <c r="M99" s="8">
        <f t="shared" si="24"/>
        <v>0.67123287671232879</v>
      </c>
      <c r="N99">
        <f t="shared" si="25"/>
        <v>2020</v>
      </c>
      <c r="O99" s="8">
        <f t="shared" si="26"/>
        <v>-60027.013698630137</v>
      </c>
      <c r="P99" s="9">
        <f t="shared" si="27"/>
        <v>-5812.8200000000006</v>
      </c>
      <c r="Q99" s="5">
        <f t="shared" si="28"/>
        <v>-5812.8200000000006</v>
      </c>
      <c r="R99" s="5">
        <f t="shared" si="29"/>
        <v>-1453.2050000000002</v>
      </c>
      <c r="S99" s="8">
        <f t="shared" si="22"/>
        <v>5.2407187189404505</v>
      </c>
      <c r="T99" s="7">
        <f t="shared" si="23"/>
        <v>6.082163803578116E-2</v>
      </c>
    </row>
    <row r="100" spans="1:20" hidden="1" x14ac:dyDescent="0.25">
      <c r="A100" t="str">
        <f t="shared" si="31"/>
        <v>43738Derivativos</v>
      </c>
      <c r="B100" t="str">
        <f t="shared" si="32"/>
        <v>43738Minerva</v>
      </c>
      <c r="C100" s="4">
        <v>43738</v>
      </c>
      <c r="D100" t="s">
        <v>20</v>
      </c>
      <c r="E100" t="s">
        <v>28</v>
      </c>
      <c r="F100" t="s">
        <v>40</v>
      </c>
      <c r="G100" t="s">
        <v>23</v>
      </c>
      <c r="H100" s="5">
        <v>-152305</v>
      </c>
      <c r="I100" s="4">
        <v>43983</v>
      </c>
      <c r="J100" t="s">
        <v>30</v>
      </c>
      <c r="K100" s="10">
        <v>6.5000000000000002E-2</v>
      </c>
      <c r="L100" s="10">
        <v>6.5000000000000002E-2</v>
      </c>
      <c r="M100" s="8">
        <f t="shared" si="24"/>
        <v>0.67123287671232879</v>
      </c>
      <c r="N100">
        <f t="shared" si="25"/>
        <v>2020</v>
      </c>
      <c r="O100" s="8">
        <f t="shared" si="26"/>
        <v>-102232.12328767123</v>
      </c>
      <c r="P100" s="9">
        <f t="shared" si="27"/>
        <v>-9899.8250000000007</v>
      </c>
      <c r="Q100" s="5">
        <f t="shared" si="28"/>
        <v>-9899.8250000000007</v>
      </c>
      <c r="R100" s="5">
        <f t="shared" si="29"/>
        <v>-2474.9562500000002</v>
      </c>
      <c r="S100" s="8">
        <f t="shared" si="22"/>
        <v>5.2407187189404505</v>
      </c>
      <c r="T100" s="7">
        <f t="shared" si="23"/>
        <v>6.082163803578116E-2</v>
      </c>
    </row>
    <row r="101" spans="1:20" hidden="1" x14ac:dyDescent="0.25">
      <c r="A101" t="str">
        <f t="shared" si="31"/>
        <v>43738Derivativos</v>
      </c>
      <c r="B101" t="str">
        <f t="shared" si="32"/>
        <v>43738Minerva</v>
      </c>
      <c r="C101" s="4">
        <v>43738</v>
      </c>
      <c r="D101" t="s">
        <v>20</v>
      </c>
      <c r="E101" t="s">
        <v>28</v>
      </c>
      <c r="F101" t="s">
        <v>40</v>
      </c>
      <c r="G101" t="s">
        <v>23</v>
      </c>
      <c r="H101" s="5">
        <v>-154360</v>
      </c>
      <c r="I101" s="4">
        <v>43983</v>
      </c>
      <c r="J101" t="s">
        <v>30</v>
      </c>
      <c r="K101" s="10">
        <v>6.5000000000000002E-2</v>
      </c>
      <c r="L101" s="10">
        <v>6.5000000000000002E-2</v>
      </c>
      <c r="M101" s="8">
        <f t="shared" si="24"/>
        <v>0.67123287671232879</v>
      </c>
      <c r="N101">
        <f t="shared" si="25"/>
        <v>2020</v>
      </c>
      <c r="O101" s="8">
        <f t="shared" si="26"/>
        <v>-103611.50684931508</v>
      </c>
      <c r="P101" s="9">
        <f t="shared" si="27"/>
        <v>-10033.4</v>
      </c>
      <c r="Q101" s="5">
        <f t="shared" si="28"/>
        <v>-10033.4</v>
      </c>
      <c r="R101" s="5">
        <f t="shared" si="29"/>
        <v>-2508.35</v>
      </c>
      <c r="S101" s="8">
        <f t="shared" si="22"/>
        <v>5.2407187189404505</v>
      </c>
      <c r="T101" s="7">
        <f t="shared" si="23"/>
        <v>6.082163803578116E-2</v>
      </c>
    </row>
    <row r="102" spans="1:20" hidden="1" x14ac:dyDescent="0.25">
      <c r="A102" t="str">
        <f t="shared" si="31"/>
        <v>43738Derivativos</v>
      </c>
      <c r="B102" t="str">
        <f t="shared" si="32"/>
        <v>43738Minerva</v>
      </c>
      <c r="C102" s="4">
        <v>43738</v>
      </c>
      <c r="D102" t="s">
        <v>20</v>
      </c>
      <c r="E102" t="s">
        <v>28</v>
      </c>
      <c r="F102" t="s">
        <v>40</v>
      </c>
      <c r="G102" t="s">
        <v>34</v>
      </c>
      <c r="H102" s="5">
        <f>-389832-65145</f>
        <v>-454977</v>
      </c>
      <c r="I102" s="4">
        <v>46174</v>
      </c>
      <c r="J102" t="s">
        <v>30</v>
      </c>
      <c r="K102" s="10">
        <v>6.5000000000000002E-2</v>
      </c>
      <c r="L102" s="10">
        <v>6.5000000000000002E-2</v>
      </c>
      <c r="M102" s="8">
        <f t="shared" si="24"/>
        <v>6.6739726027397257</v>
      </c>
      <c r="N102">
        <f t="shared" si="25"/>
        <v>2026</v>
      </c>
      <c r="O102" s="8">
        <f t="shared" si="26"/>
        <v>-3036504.0328767123</v>
      </c>
      <c r="P102" s="9">
        <f t="shared" si="27"/>
        <v>-29573.505000000001</v>
      </c>
      <c r="Q102" s="5">
        <f t="shared" si="28"/>
        <v>-29573.505000000001</v>
      </c>
      <c r="R102" s="5">
        <f t="shared" si="29"/>
        <v>-7393.3762500000003</v>
      </c>
      <c r="S102" s="8">
        <f t="shared" si="22"/>
        <v>5.2407187189404505</v>
      </c>
      <c r="T102" s="7">
        <f t="shared" si="23"/>
        <v>6.082163803578116E-2</v>
      </c>
    </row>
    <row r="103" spans="1:20" hidden="1" x14ac:dyDescent="0.25">
      <c r="A103" t="str">
        <f t="shared" si="31"/>
        <v/>
      </c>
      <c r="B103" t="str">
        <f t="shared" si="32"/>
        <v/>
      </c>
      <c r="H103" s="5"/>
      <c r="L103" s="7"/>
      <c r="S103" s="11"/>
      <c r="T103" s="11"/>
    </row>
    <row r="104" spans="1:20" hidden="1" x14ac:dyDescent="0.25">
      <c r="A104" t="str">
        <f t="shared" si="31"/>
        <v>43646Debênture 2020</v>
      </c>
      <c r="B104" t="str">
        <f t="shared" si="32"/>
        <v>43646Minerva</v>
      </c>
      <c r="C104" s="4">
        <v>43646</v>
      </c>
      <c r="D104" t="s">
        <v>20</v>
      </c>
      <c r="E104" t="s">
        <v>21</v>
      </c>
      <c r="F104" t="s">
        <v>22</v>
      </c>
      <c r="G104" t="s">
        <v>23</v>
      </c>
      <c r="H104" s="5">
        <v>353023</v>
      </c>
      <c r="I104" s="4">
        <v>44106</v>
      </c>
      <c r="J104" t="s">
        <v>24</v>
      </c>
      <c r="K104" s="12">
        <v>1.0549999999999999</v>
      </c>
      <c r="L104" s="7">
        <f>(((1+4.4%)^(1/252)-1)*K104+1)^(252)-1</f>
        <v>4.6475182575541618E-2</v>
      </c>
      <c r="M104" s="8">
        <f>(I104-C104)/365</f>
        <v>1.2602739726027397</v>
      </c>
      <c r="N104">
        <f>YEAR(I104)</f>
        <v>2020</v>
      </c>
      <c r="O104" s="8">
        <f>M104*H104</f>
        <v>444905.69863013696</v>
      </c>
      <c r="P104" s="9">
        <f>L104*H104</f>
        <v>16406.808378365429</v>
      </c>
      <c r="Q104" s="5">
        <f>H104*L104</f>
        <v>16406.808378365429</v>
      </c>
      <c r="R104" s="5">
        <f>Q104/4</f>
        <v>4101.7020945913573</v>
      </c>
      <c r="S104" s="8">
        <f t="shared" ref="S104:S132" si="33">SUMIFS($O:$O,$C:$C,$C104,$D:$D,D104)/SUMIFS($H:$H,$C:$C,$C104,$D:$D,D104)</f>
        <v>5.7371386081282942</v>
      </c>
      <c r="T104" s="7">
        <f t="shared" ref="T104:T132" si="34">SUMIFS($P:$P,$C:$C,$C104,$D:$D,D104)/SUMIFS($H:$H,$C:$C,$C104,$D:$D,D104)</f>
        <v>6.1244627650741339E-2</v>
      </c>
    </row>
    <row r="105" spans="1:20" hidden="1" x14ac:dyDescent="0.25">
      <c r="A105" t="str">
        <f t="shared" si="31"/>
        <v>43646Debênture 2024</v>
      </c>
      <c r="B105" t="str">
        <f t="shared" si="32"/>
        <v>43646Minerva</v>
      </c>
      <c r="C105" s="4">
        <v>43646</v>
      </c>
      <c r="D105" t="s">
        <v>20</v>
      </c>
      <c r="E105" t="s">
        <v>21</v>
      </c>
      <c r="F105" t="s">
        <v>25</v>
      </c>
      <c r="G105" t="s">
        <v>23</v>
      </c>
      <c r="H105" s="5">
        <v>399017</v>
      </c>
      <c r="I105" s="4">
        <v>44696</v>
      </c>
      <c r="J105" t="s">
        <v>24</v>
      </c>
      <c r="K105" s="10">
        <v>1.7999999999999999E-2</v>
      </c>
      <c r="L105" s="7">
        <f>(1+3%)*(1+K105)-1</f>
        <v>4.8540000000000028E-2</v>
      </c>
      <c r="M105" s="8">
        <f t="shared" ref="M105:M132" si="35">(I105-C105)/365</f>
        <v>2.8767123287671232</v>
      </c>
      <c r="N105">
        <f t="shared" ref="N105:N132" si="36">YEAR(I105)</f>
        <v>2022</v>
      </c>
      <c r="O105" s="8">
        <f t="shared" ref="O105:O132" si="37">M105*H105</f>
        <v>1147857.1232876712</v>
      </c>
      <c r="P105" s="9">
        <f t="shared" ref="P105:P132" si="38">L105*H105</f>
        <v>19368.28518000001</v>
      </c>
      <c r="Q105" s="5">
        <f t="shared" ref="Q105:Q132" si="39">H105*L105</f>
        <v>19368.28518000001</v>
      </c>
      <c r="R105" s="5">
        <f t="shared" ref="R105:R132" si="40">Q105/4</f>
        <v>4842.0712950000025</v>
      </c>
      <c r="S105" s="8">
        <f t="shared" si="33"/>
        <v>5.7371386081282942</v>
      </c>
      <c r="T105" s="7">
        <f t="shared" si="34"/>
        <v>6.1244627650741339E-2</v>
      </c>
    </row>
    <row r="106" spans="1:20" hidden="1" x14ac:dyDescent="0.25">
      <c r="A106" t="str">
        <f t="shared" si="31"/>
        <v>43646CCB</v>
      </c>
      <c r="B106" t="str">
        <f t="shared" si="32"/>
        <v>43646Minerva</v>
      </c>
      <c r="C106" s="4">
        <v>43646</v>
      </c>
      <c r="D106" t="s">
        <v>20</v>
      </c>
      <c r="E106" t="s">
        <v>28</v>
      </c>
      <c r="F106" t="s">
        <v>29</v>
      </c>
      <c r="G106" t="s">
        <v>23</v>
      </c>
      <c r="H106" s="5">
        <v>22054</v>
      </c>
      <c r="I106" s="4">
        <v>43983</v>
      </c>
      <c r="J106" t="s">
        <v>30</v>
      </c>
      <c r="K106" s="10">
        <v>8.3500000000000005E-2</v>
      </c>
      <c r="L106" s="10">
        <v>8.3500000000000005E-2</v>
      </c>
      <c r="M106" s="8">
        <f t="shared" si="35"/>
        <v>0.92328767123287669</v>
      </c>
      <c r="N106">
        <f t="shared" si="36"/>
        <v>2020</v>
      </c>
      <c r="O106" s="8">
        <f t="shared" si="37"/>
        <v>20362.186301369864</v>
      </c>
      <c r="P106" s="9">
        <f t="shared" si="38"/>
        <v>1841.509</v>
      </c>
      <c r="Q106" s="5">
        <f t="shared" si="39"/>
        <v>1841.509</v>
      </c>
      <c r="R106" s="5">
        <f t="shared" si="40"/>
        <v>460.37725</v>
      </c>
      <c r="S106" s="8">
        <f t="shared" si="33"/>
        <v>5.7371386081282942</v>
      </c>
      <c r="T106" s="7">
        <f t="shared" si="34"/>
        <v>6.1244627650741339E-2</v>
      </c>
    </row>
    <row r="107" spans="1:20" hidden="1" x14ac:dyDescent="0.25">
      <c r="A107" t="str">
        <f t="shared" si="31"/>
        <v>43646CCB</v>
      </c>
      <c r="B107" t="str">
        <f t="shared" si="32"/>
        <v>43646Minerva</v>
      </c>
      <c r="C107" s="4">
        <v>43646</v>
      </c>
      <c r="D107" t="s">
        <v>20</v>
      </c>
      <c r="E107" t="s">
        <v>28</v>
      </c>
      <c r="F107" t="s">
        <v>29</v>
      </c>
      <c r="G107" t="s">
        <v>23</v>
      </c>
      <c r="H107" s="5">
        <v>50775</v>
      </c>
      <c r="I107" s="4">
        <v>44348</v>
      </c>
      <c r="J107" t="s">
        <v>30</v>
      </c>
      <c r="K107" s="10">
        <v>8.3500000000000005E-2</v>
      </c>
      <c r="L107" s="10">
        <v>8.3500000000000005E-2</v>
      </c>
      <c r="M107" s="8">
        <f t="shared" si="35"/>
        <v>1.9232876712328768</v>
      </c>
      <c r="N107">
        <f t="shared" si="36"/>
        <v>2021</v>
      </c>
      <c r="O107" s="8">
        <f t="shared" si="37"/>
        <v>97654.931506849316</v>
      </c>
      <c r="P107" s="9">
        <f t="shared" si="38"/>
        <v>4239.7125000000005</v>
      </c>
      <c r="Q107" s="5">
        <f t="shared" si="39"/>
        <v>4239.7125000000005</v>
      </c>
      <c r="R107" s="5">
        <f t="shared" si="40"/>
        <v>1059.9281250000001</v>
      </c>
      <c r="S107" s="8">
        <f t="shared" si="33"/>
        <v>5.7371386081282942</v>
      </c>
      <c r="T107" s="7">
        <f t="shared" si="34"/>
        <v>6.1244627650741339E-2</v>
      </c>
    </row>
    <row r="108" spans="1:20" hidden="1" x14ac:dyDescent="0.25">
      <c r="A108" t="str">
        <f t="shared" si="31"/>
        <v>43646NCE</v>
      </c>
      <c r="B108" t="str">
        <f t="shared" si="32"/>
        <v>43646Minerva</v>
      </c>
      <c r="C108" s="4">
        <v>43646</v>
      </c>
      <c r="D108" t="s">
        <v>20</v>
      </c>
      <c r="E108" t="s">
        <v>31</v>
      </c>
      <c r="F108" t="s">
        <v>31</v>
      </c>
      <c r="G108" t="s">
        <v>23</v>
      </c>
      <c r="H108" s="5">
        <v>470381</v>
      </c>
      <c r="I108" s="4">
        <v>43983</v>
      </c>
      <c r="J108" t="s">
        <v>24</v>
      </c>
      <c r="K108" s="10">
        <v>0.03</v>
      </c>
      <c r="L108" s="7">
        <f t="shared" ref="L108:L109" si="41">(1+3%)*(1+K108)-1</f>
        <v>6.0899999999999954E-2</v>
      </c>
      <c r="M108" s="8">
        <f t="shared" si="35"/>
        <v>0.92328767123287669</v>
      </c>
      <c r="N108">
        <f t="shared" si="36"/>
        <v>2020</v>
      </c>
      <c r="O108" s="8">
        <f t="shared" si="37"/>
        <v>434296.97808219178</v>
      </c>
      <c r="P108" s="9">
        <f t="shared" si="38"/>
        <v>28646.202899999978</v>
      </c>
      <c r="Q108" s="5">
        <f t="shared" si="39"/>
        <v>28646.202899999978</v>
      </c>
      <c r="R108" s="5">
        <f t="shared" si="40"/>
        <v>7161.5507249999946</v>
      </c>
      <c r="S108" s="8">
        <f t="shared" si="33"/>
        <v>5.7371386081282942</v>
      </c>
      <c r="T108" s="7">
        <f t="shared" si="34"/>
        <v>6.1244627650741339E-2</v>
      </c>
    </row>
    <row r="109" spans="1:20" hidden="1" x14ac:dyDescent="0.25">
      <c r="A109" t="str">
        <f t="shared" si="31"/>
        <v>43646NCE</v>
      </c>
      <c r="B109" t="str">
        <f t="shared" si="32"/>
        <v>43646Minerva</v>
      </c>
      <c r="C109" s="4">
        <v>43646</v>
      </c>
      <c r="D109" t="s">
        <v>20</v>
      </c>
      <c r="E109" t="s">
        <v>31</v>
      </c>
      <c r="F109" t="s">
        <v>31</v>
      </c>
      <c r="G109" t="s">
        <v>23</v>
      </c>
      <c r="H109" s="5">
        <v>268857</v>
      </c>
      <c r="I109" s="4">
        <v>43983</v>
      </c>
      <c r="J109" t="s">
        <v>42</v>
      </c>
      <c r="K109" s="10">
        <v>0.03</v>
      </c>
      <c r="L109" s="7">
        <f t="shared" si="41"/>
        <v>6.0899999999999954E-2</v>
      </c>
      <c r="M109" s="8">
        <f t="shared" si="35"/>
        <v>0.92328767123287669</v>
      </c>
      <c r="N109">
        <f t="shared" si="36"/>
        <v>2020</v>
      </c>
      <c r="O109" s="8">
        <f t="shared" si="37"/>
        <v>248232.35342465754</v>
      </c>
      <c r="P109" s="9">
        <f t="shared" si="38"/>
        <v>16373.391299999988</v>
      </c>
      <c r="Q109" s="5">
        <f t="shared" si="39"/>
        <v>16373.391299999988</v>
      </c>
      <c r="R109" s="5">
        <f t="shared" si="40"/>
        <v>4093.3478249999971</v>
      </c>
      <c r="S109" s="8">
        <f t="shared" si="33"/>
        <v>5.7371386081282942</v>
      </c>
      <c r="T109" s="7">
        <f t="shared" si="34"/>
        <v>6.1244627650741339E-2</v>
      </c>
    </row>
    <row r="110" spans="1:20" hidden="1" x14ac:dyDescent="0.25">
      <c r="A110" t="str">
        <f t="shared" si="31"/>
        <v>43646IFC</v>
      </c>
      <c r="B110" t="str">
        <f t="shared" si="32"/>
        <v>43646Minerva</v>
      </c>
      <c r="C110" s="4">
        <v>43646</v>
      </c>
      <c r="D110" t="s">
        <v>20</v>
      </c>
      <c r="E110" t="s">
        <v>28</v>
      </c>
      <c r="F110" t="s">
        <v>32</v>
      </c>
      <c r="G110" t="s">
        <v>23</v>
      </c>
      <c r="H110" s="5">
        <f>70138-SUM(H111:H114)</f>
        <v>15697</v>
      </c>
      <c r="I110" s="4">
        <v>43570</v>
      </c>
      <c r="J110" t="s">
        <v>24</v>
      </c>
      <c r="K110" s="10">
        <v>2.35E-2</v>
      </c>
      <c r="L110" s="7">
        <f>(1+3%)*(1+K110)-1</f>
        <v>5.4205000000000059E-2</v>
      </c>
      <c r="M110" s="8">
        <f t="shared" si="35"/>
        <v>-0.20821917808219179</v>
      </c>
      <c r="N110">
        <f t="shared" si="36"/>
        <v>2019</v>
      </c>
      <c r="O110" s="8">
        <f t="shared" si="37"/>
        <v>-3268.4164383561647</v>
      </c>
      <c r="P110" s="9">
        <f t="shared" si="38"/>
        <v>850.85588500000097</v>
      </c>
      <c r="Q110" s="5">
        <f t="shared" si="39"/>
        <v>850.85588500000097</v>
      </c>
      <c r="R110" s="5">
        <f t="shared" si="40"/>
        <v>212.71397125000024</v>
      </c>
      <c r="S110" s="8">
        <f t="shared" si="33"/>
        <v>5.7371386081282942</v>
      </c>
      <c r="T110" s="7">
        <f t="shared" si="34"/>
        <v>6.1244627650741339E-2</v>
      </c>
    </row>
    <row r="111" spans="1:20" hidden="1" x14ac:dyDescent="0.25">
      <c r="A111" t="str">
        <f t="shared" si="31"/>
        <v>43646IFC</v>
      </c>
      <c r="B111" t="str">
        <f t="shared" si="32"/>
        <v>43646Minerva</v>
      </c>
      <c r="C111" s="4">
        <v>43646</v>
      </c>
      <c r="D111" t="s">
        <v>20</v>
      </c>
      <c r="E111" t="s">
        <v>28</v>
      </c>
      <c r="F111" t="s">
        <v>32</v>
      </c>
      <c r="G111" t="s">
        <v>23</v>
      </c>
      <c r="H111" s="5">
        <f>8607--2797</f>
        <v>11404</v>
      </c>
      <c r="I111" s="4">
        <v>43936</v>
      </c>
      <c r="J111" t="s">
        <v>24</v>
      </c>
      <c r="K111" s="10">
        <v>2.35E-2</v>
      </c>
      <c r="L111" s="7">
        <f>(1+3%)*(1+K111)-1</f>
        <v>5.4205000000000059E-2</v>
      </c>
      <c r="M111" s="8">
        <f t="shared" si="35"/>
        <v>0.79452054794520544</v>
      </c>
      <c r="N111">
        <f t="shared" si="36"/>
        <v>2020</v>
      </c>
      <c r="O111" s="8">
        <f t="shared" si="37"/>
        <v>9060.712328767122</v>
      </c>
      <c r="P111" s="9">
        <f t="shared" si="38"/>
        <v>618.15382000000068</v>
      </c>
      <c r="Q111" s="5">
        <f t="shared" si="39"/>
        <v>618.15382000000068</v>
      </c>
      <c r="R111" s="5">
        <f t="shared" si="40"/>
        <v>154.53845500000017</v>
      </c>
      <c r="S111" s="8">
        <f t="shared" si="33"/>
        <v>5.7371386081282942</v>
      </c>
      <c r="T111" s="7">
        <f t="shared" si="34"/>
        <v>6.1244627650741339E-2</v>
      </c>
    </row>
    <row r="112" spans="1:20" hidden="1" x14ac:dyDescent="0.25">
      <c r="A112" t="str">
        <f t="shared" si="31"/>
        <v>43646IFC</v>
      </c>
      <c r="B112" t="str">
        <f t="shared" si="32"/>
        <v>43646Minerva</v>
      </c>
      <c r="C112" s="4">
        <v>43646</v>
      </c>
      <c r="D112" t="s">
        <v>20</v>
      </c>
      <c r="E112" t="s">
        <v>28</v>
      </c>
      <c r="F112" t="s">
        <v>32</v>
      </c>
      <c r="G112" t="s">
        <v>23</v>
      </c>
      <c r="H112" s="5">
        <v>17215</v>
      </c>
      <c r="I112" s="4">
        <v>44301</v>
      </c>
      <c r="J112" t="s">
        <v>24</v>
      </c>
      <c r="K112" s="10">
        <v>2.35E-2</v>
      </c>
      <c r="L112" s="7">
        <f>(1+3%)*(1+K112)-1</f>
        <v>5.4205000000000059E-2</v>
      </c>
      <c r="M112" s="8">
        <f t="shared" si="35"/>
        <v>1.7945205479452055</v>
      </c>
      <c r="N112">
        <f t="shared" si="36"/>
        <v>2021</v>
      </c>
      <c r="O112" s="8">
        <f t="shared" si="37"/>
        <v>30892.671232876713</v>
      </c>
      <c r="P112" s="9">
        <f t="shared" si="38"/>
        <v>933.13907500000096</v>
      </c>
      <c r="Q112" s="5">
        <f t="shared" si="39"/>
        <v>933.13907500000096</v>
      </c>
      <c r="R112" s="5">
        <f t="shared" si="40"/>
        <v>233.28476875000024</v>
      </c>
      <c r="S112" s="8">
        <f t="shared" si="33"/>
        <v>5.7371386081282942</v>
      </c>
      <c r="T112" s="7">
        <f t="shared" si="34"/>
        <v>6.1244627650741339E-2</v>
      </c>
    </row>
    <row r="113" spans="1:20" hidden="1" x14ac:dyDescent="0.25">
      <c r="A113" t="str">
        <f t="shared" si="31"/>
        <v>43646IFC</v>
      </c>
      <c r="B113" t="str">
        <f t="shared" si="32"/>
        <v>43646Minerva</v>
      </c>
      <c r="C113" s="4">
        <v>43646</v>
      </c>
      <c r="D113" t="s">
        <v>20</v>
      </c>
      <c r="E113" t="s">
        <v>28</v>
      </c>
      <c r="F113" t="s">
        <v>32</v>
      </c>
      <c r="G113" t="s">
        <v>23</v>
      </c>
      <c r="H113" s="5">
        <v>17215</v>
      </c>
      <c r="I113" s="4">
        <v>44666</v>
      </c>
      <c r="J113" t="s">
        <v>24</v>
      </c>
      <c r="K113" s="10">
        <v>2.35E-2</v>
      </c>
      <c r="L113" s="7">
        <f>(1+3%)*(1+K113)-1</f>
        <v>5.4205000000000059E-2</v>
      </c>
      <c r="M113" s="8">
        <f t="shared" si="35"/>
        <v>2.7945205479452055</v>
      </c>
      <c r="N113">
        <f t="shared" si="36"/>
        <v>2022</v>
      </c>
      <c r="O113" s="8">
        <f t="shared" si="37"/>
        <v>48107.671232876717</v>
      </c>
      <c r="P113" s="9">
        <f t="shared" si="38"/>
        <v>933.13907500000096</v>
      </c>
      <c r="Q113" s="5">
        <f t="shared" si="39"/>
        <v>933.13907500000096</v>
      </c>
      <c r="R113" s="5">
        <f t="shared" si="40"/>
        <v>233.28476875000024</v>
      </c>
      <c r="S113" s="8">
        <f t="shared" si="33"/>
        <v>5.7371386081282942</v>
      </c>
      <c r="T113" s="7">
        <f t="shared" si="34"/>
        <v>6.1244627650741339E-2</v>
      </c>
    </row>
    <row r="114" spans="1:20" hidden="1" x14ac:dyDescent="0.25">
      <c r="A114" t="str">
        <f t="shared" si="31"/>
        <v>43646IFC</v>
      </c>
      <c r="B114" t="str">
        <f t="shared" si="32"/>
        <v>43646Minerva</v>
      </c>
      <c r="C114" s="4">
        <v>43646</v>
      </c>
      <c r="D114" t="s">
        <v>20</v>
      </c>
      <c r="E114" t="s">
        <v>28</v>
      </c>
      <c r="F114" t="s">
        <v>32</v>
      </c>
      <c r="G114" t="s">
        <v>23</v>
      </c>
      <c r="H114" s="5">
        <v>8607</v>
      </c>
      <c r="I114" s="4">
        <v>45031</v>
      </c>
      <c r="J114" t="s">
        <v>24</v>
      </c>
      <c r="K114" s="10">
        <v>2.35E-2</v>
      </c>
      <c r="L114" s="7">
        <f>(1+3%)*(1+K114)-1</f>
        <v>5.4205000000000059E-2</v>
      </c>
      <c r="M114" s="8">
        <f t="shared" si="35"/>
        <v>3.7945205479452055</v>
      </c>
      <c r="N114">
        <f t="shared" si="36"/>
        <v>2023</v>
      </c>
      <c r="O114" s="8">
        <f t="shared" si="37"/>
        <v>32659.438356164384</v>
      </c>
      <c r="P114" s="9">
        <f t="shared" si="38"/>
        <v>466.54243500000052</v>
      </c>
      <c r="Q114" s="5">
        <f t="shared" si="39"/>
        <v>466.54243500000052</v>
      </c>
      <c r="R114" s="5">
        <f t="shared" si="40"/>
        <v>116.63560875000013</v>
      </c>
      <c r="S114" s="8">
        <f t="shared" si="33"/>
        <v>5.7371386081282942</v>
      </c>
      <c r="T114" s="7">
        <f t="shared" si="34"/>
        <v>6.1244627650741339E-2</v>
      </c>
    </row>
    <row r="115" spans="1:20" hidden="1" x14ac:dyDescent="0.25">
      <c r="A115" t="str">
        <f t="shared" si="31"/>
        <v>43646ACC</v>
      </c>
      <c r="B115" t="str">
        <f t="shared" si="32"/>
        <v>43646Minerva</v>
      </c>
      <c r="C115" s="4">
        <v>43646</v>
      </c>
      <c r="D115" t="s">
        <v>20</v>
      </c>
      <c r="E115" t="s">
        <v>33</v>
      </c>
      <c r="F115" t="s">
        <v>33</v>
      </c>
      <c r="G115" t="s">
        <v>34</v>
      </c>
      <c r="H115" s="5">
        <v>756159</v>
      </c>
      <c r="I115" s="4">
        <v>43830</v>
      </c>
      <c r="J115" t="s">
        <v>30</v>
      </c>
      <c r="K115" s="10">
        <v>6.5000000000000002E-2</v>
      </c>
      <c r="L115" s="10">
        <v>5.5E-2</v>
      </c>
      <c r="M115" s="8">
        <f t="shared" si="35"/>
        <v>0.50410958904109593</v>
      </c>
      <c r="N115">
        <f t="shared" si="36"/>
        <v>2019</v>
      </c>
      <c r="O115" s="8">
        <f t="shared" si="37"/>
        <v>381187.00273972604</v>
      </c>
      <c r="P115" s="9">
        <f t="shared" si="38"/>
        <v>41588.745000000003</v>
      </c>
      <c r="Q115" s="5">
        <f t="shared" si="39"/>
        <v>41588.745000000003</v>
      </c>
      <c r="R115" s="5">
        <f t="shared" si="40"/>
        <v>10397.186250000001</v>
      </c>
      <c r="S115" s="8">
        <f t="shared" si="33"/>
        <v>5.7371386081282942</v>
      </c>
      <c r="T115" s="7">
        <f t="shared" si="34"/>
        <v>6.1244627650741339E-2</v>
      </c>
    </row>
    <row r="116" spans="1:20" hidden="1" x14ac:dyDescent="0.25">
      <c r="A116" t="str">
        <f t="shared" si="31"/>
        <v>43646Bond</v>
      </c>
      <c r="B116" t="str">
        <f t="shared" si="32"/>
        <v>43646Minerva</v>
      </c>
      <c r="C116" s="4">
        <v>43646</v>
      </c>
      <c r="D116" t="s">
        <v>20</v>
      </c>
      <c r="E116" t="s">
        <v>35</v>
      </c>
      <c r="F116" t="s">
        <v>35</v>
      </c>
      <c r="G116" t="s">
        <v>34</v>
      </c>
      <c r="H116" s="5">
        <v>4474800</v>
      </c>
      <c r="I116" s="4">
        <v>46285</v>
      </c>
      <c r="J116" t="s">
        <v>30</v>
      </c>
      <c r="K116" s="10">
        <v>6.5000000000000002E-2</v>
      </c>
      <c r="L116" s="10">
        <v>6.5000000000000002E-2</v>
      </c>
      <c r="M116" s="8">
        <f t="shared" si="35"/>
        <v>7.2301369863013702</v>
      </c>
      <c r="N116">
        <f t="shared" si="36"/>
        <v>2026</v>
      </c>
      <c r="O116" s="8">
        <f t="shared" si="37"/>
        <v>32353416.98630137</v>
      </c>
      <c r="P116" s="9">
        <f t="shared" si="38"/>
        <v>290862</v>
      </c>
      <c r="Q116" s="5">
        <f t="shared" si="39"/>
        <v>290862</v>
      </c>
      <c r="R116" s="5">
        <f t="shared" si="40"/>
        <v>72715.5</v>
      </c>
      <c r="S116" s="8">
        <f t="shared" si="33"/>
        <v>5.7371386081282942</v>
      </c>
      <c r="T116" s="7">
        <f t="shared" si="34"/>
        <v>6.1244627650741339E-2</v>
      </c>
    </row>
    <row r="117" spans="1:20" hidden="1" x14ac:dyDescent="0.25">
      <c r="A117" t="str">
        <f t="shared" si="31"/>
        <v>43646Bond</v>
      </c>
      <c r="B117" t="str">
        <f t="shared" si="32"/>
        <v>43646Minerva</v>
      </c>
      <c r="C117" s="4">
        <v>43646</v>
      </c>
      <c r="D117" t="s">
        <v>20</v>
      </c>
      <c r="E117" t="s">
        <v>35</v>
      </c>
      <c r="F117" t="s">
        <v>35</v>
      </c>
      <c r="G117" t="s">
        <v>34</v>
      </c>
      <c r="H117" s="5">
        <v>1824374</v>
      </c>
      <c r="I117" s="4">
        <v>47016</v>
      </c>
      <c r="J117" t="s">
        <v>30</v>
      </c>
      <c r="K117" s="10">
        <v>5.8749999999999997E-2</v>
      </c>
      <c r="L117" s="10">
        <v>6.5000000000000002E-2</v>
      </c>
      <c r="M117" s="8">
        <f t="shared" si="35"/>
        <v>9.2328767123287676</v>
      </c>
      <c r="N117">
        <f t="shared" si="36"/>
        <v>2028</v>
      </c>
      <c r="O117" s="8">
        <f t="shared" si="37"/>
        <v>16844220.219178084</v>
      </c>
      <c r="P117" s="9">
        <f t="shared" si="38"/>
        <v>118584.31</v>
      </c>
      <c r="Q117" s="5">
        <f t="shared" si="39"/>
        <v>118584.31</v>
      </c>
      <c r="R117" s="5">
        <f t="shared" si="40"/>
        <v>29646.077499999999</v>
      </c>
      <c r="S117" s="8">
        <f t="shared" si="33"/>
        <v>5.7371386081282942</v>
      </c>
      <c r="T117" s="7">
        <f t="shared" si="34"/>
        <v>6.1244627650741339E-2</v>
      </c>
    </row>
    <row r="118" spans="1:20" hidden="1" x14ac:dyDescent="0.25">
      <c r="A118" t="str">
        <f t="shared" si="31"/>
        <v>43646PPE</v>
      </c>
      <c r="B118" t="str">
        <f t="shared" si="32"/>
        <v>43646Minerva</v>
      </c>
      <c r="C118" s="4">
        <v>43646</v>
      </c>
      <c r="D118" t="s">
        <v>20</v>
      </c>
      <c r="E118" t="s">
        <v>36</v>
      </c>
      <c r="F118" t="s">
        <v>36</v>
      </c>
      <c r="G118" t="s">
        <v>34</v>
      </c>
      <c r="H118" s="5">
        <v>448646</v>
      </c>
      <c r="I118" s="4">
        <v>44348</v>
      </c>
      <c r="J118" t="s">
        <v>37</v>
      </c>
      <c r="K118" s="12">
        <v>0.02</v>
      </c>
      <c r="L118" s="7">
        <v>3.9E-2</v>
      </c>
      <c r="M118" s="8">
        <f t="shared" si="35"/>
        <v>1.9232876712328768</v>
      </c>
      <c r="N118">
        <f t="shared" si="36"/>
        <v>2021</v>
      </c>
      <c r="O118" s="8">
        <f t="shared" si="37"/>
        <v>862875.32054794522</v>
      </c>
      <c r="P118" s="9">
        <f t="shared" si="38"/>
        <v>17497.194</v>
      </c>
      <c r="Q118" s="5">
        <f t="shared" si="39"/>
        <v>17497.194</v>
      </c>
      <c r="R118" s="5">
        <f t="shared" si="40"/>
        <v>4374.2984999999999</v>
      </c>
      <c r="S118" s="8">
        <f t="shared" si="33"/>
        <v>5.7371386081282942</v>
      </c>
      <c r="T118" s="7">
        <f t="shared" si="34"/>
        <v>6.1244627650741339E-2</v>
      </c>
    </row>
    <row r="119" spans="1:20" hidden="1" x14ac:dyDescent="0.25">
      <c r="A119" t="str">
        <f t="shared" si="31"/>
        <v>43646CCE</v>
      </c>
      <c r="B119" t="str">
        <f t="shared" si="32"/>
        <v>43646Minerva</v>
      </c>
      <c r="C119" s="4">
        <v>43646</v>
      </c>
      <c r="D119" t="s">
        <v>20</v>
      </c>
      <c r="E119" t="s">
        <v>28</v>
      </c>
      <c r="F119" t="s">
        <v>38</v>
      </c>
      <c r="G119" t="s">
        <v>34</v>
      </c>
      <c r="H119" s="5">
        <v>403002</v>
      </c>
      <c r="I119" s="4">
        <v>43983</v>
      </c>
      <c r="J119" t="s">
        <v>30</v>
      </c>
      <c r="K119" s="10">
        <v>6.5000000000000002E-2</v>
      </c>
      <c r="L119" s="10">
        <v>6.5000000000000002E-2</v>
      </c>
      <c r="M119" s="8">
        <f t="shared" si="35"/>
        <v>0.92328767123287669</v>
      </c>
      <c r="N119">
        <f t="shared" si="36"/>
        <v>2020</v>
      </c>
      <c r="O119" s="8">
        <f t="shared" si="37"/>
        <v>372086.77808219177</v>
      </c>
      <c r="P119" s="9">
        <f t="shared" si="38"/>
        <v>26195.13</v>
      </c>
      <c r="Q119" s="5">
        <f t="shared" si="39"/>
        <v>26195.13</v>
      </c>
      <c r="R119" s="5">
        <f t="shared" si="40"/>
        <v>6548.7825000000003</v>
      </c>
      <c r="S119" s="8">
        <f t="shared" si="33"/>
        <v>5.7371386081282942</v>
      </c>
      <c r="T119" s="7">
        <f t="shared" si="34"/>
        <v>6.1244627650741339E-2</v>
      </c>
    </row>
    <row r="120" spans="1:20" hidden="1" x14ac:dyDescent="0.25">
      <c r="A120" t="str">
        <f t="shared" si="31"/>
        <v>43646Secured Loan</v>
      </c>
      <c r="B120" t="str">
        <f t="shared" si="32"/>
        <v>43646Minerva</v>
      </c>
      <c r="C120" s="4">
        <v>43646</v>
      </c>
      <c r="D120" t="s">
        <v>20</v>
      </c>
      <c r="E120" t="s">
        <v>28</v>
      </c>
      <c r="F120" t="s">
        <v>39</v>
      </c>
      <c r="G120" t="s">
        <v>34</v>
      </c>
      <c r="H120" s="5">
        <v>476</v>
      </c>
      <c r="I120" s="4">
        <v>43983</v>
      </c>
      <c r="J120" t="s">
        <v>30</v>
      </c>
      <c r="K120" s="10">
        <v>6.5000000000000002E-2</v>
      </c>
      <c r="L120" s="10">
        <v>6.5000000000000002E-2</v>
      </c>
      <c r="M120" s="8">
        <f t="shared" si="35"/>
        <v>0.92328767123287669</v>
      </c>
      <c r="N120">
        <f t="shared" si="36"/>
        <v>2020</v>
      </c>
      <c r="O120" s="8">
        <f t="shared" si="37"/>
        <v>439.48493150684931</v>
      </c>
      <c r="P120" s="9">
        <f t="shared" si="38"/>
        <v>30.94</v>
      </c>
      <c r="Q120" s="5">
        <f t="shared" si="39"/>
        <v>30.94</v>
      </c>
      <c r="R120" s="5">
        <f t="shared" si="40"/>
        <v>7.7350000000000003</v>
      </c>
      <c r="S120" s="8">
        <f t="shared" si="33"/>
        <v>5.7371386081282942</v>
      </c>
      <c r="T120" s="7">
        <f t="shared" si="34"/>
        <v>6.1244627650741339E-2</v>
      </c>
    </row>
    <row r="121" spans="1:20" hidden="1" x14ac:dyDescent="0.25">
      <c r="A121" t="str">
        <f t="shared" si="31"/>
        <v>43646Secured Loan</v>
      </c>
      <c r="B121" t="str">
        <f t="shared" si="32"/>
        <v>43646Minerva</v>
      </c>
      <c r="C121" s="4">
        <v>43646</v>
      </c>
      <c r="D121" t="s">
        <v>20</v>
      </c>
      <c r="E121" t="s">
        <v>28</v>
      </c>
      <c r="F121" t="s">
        <v>39</v>
      </c>
      <c r="G121" t="s">
        <v>34</v>
      </c>
      <c r="H121" s="5">
        <v>1026</v>
      </c>
      <c r="I121" s="4">
        <v>44348</v>
      </c>
      <c r="J121" t="s">
        <v>30</v>
      </c>
      <c r="K121" s="10">
        <v>6.5000000000000002E-2</v>
      </c>
      <c r="L121" s="10">
        <v>6.5000000000000002E-2</v>
      </c>
      <c r="M121" s="8">
        <f t="shared" si="35"/>
        <v>1.9232876712328768</v>
      </c>
      <c r="N121">
        <f t="shared" si="36"/>
        <v>2021</v>
      </c>
      <c r="O121" s="8">
        <f t="shared" si="37"/>
        <v>1973.2931506849316</v>
      </c>
      <c r="P121" s="9">
        <f t="shared" si="38"/>
        <v>66.69</v>
      </c>
      <c r="Q121" s="5">
        <f t="shared" si="39"/>
        <v>66.69</v>
      </c>
      <c r="R121" s="5">
        <f t="shared" si="40"/>
        <v>16.672499999999999</v>
      </c>
      <c r="S121" s="8">
        <f t="shared" si="33"/>
        <v>5.7371386081282942</v>
      </c>
      <c r="T121" s="7">
        <f t="shared" si="34"/>
        <v>6.1244627650741339E-2</v>
      </c>
    </row>
    <row r="122" spans="1:20" hidden="1" x14ac:dyDescent="0.25">
      <c r="A122" t="str">
        <f t="shared" si="31"/>
        <v>43646Secured Loan</v>
      </c>
      <c r="B122" t="str">
        <f t="shared" si="32"/>
        <v>43646Minerva</v>
      </c>
      <c r="C122" s="4">
        <v>43646</v>
      </c>
      <c r="D122" t="s">
        <v>20</v>
      </c>
      <c r="E122" t="s">
        <v>28</v>
      </c>
      <c r="F122" t="s">
        <v>39</v>
      </c>
      <c r="G122" t="s">
        <v>34</v>
      </c>
      <c r="H122" s="5">
        <v>1015</v>
      </c>
      <c r="I122" s="4">
        <v>44713</v>
      </c>
      <c r="J122" t="s">
        <v>30</v>
      </c>
      <c r="K122" s="10">
        <v>6.5000000000000002E-2</v>
      </c>
      <c r="L122" s="10">
        <v>6.5000000000000002E-2</v>
      </c>
      <c r="M122" s="8">
        <f t="shared" si="35"/>
        <v>2.9232876712328766</v>
      </c>
      <c r="N122">
        <f t="shared" si="36"/>
        <v>2022</v>
      </c>
      <c r="O122" s="8">
        <f t="shared" si="37"/>
        <v>2967.1369863013697</v>
      </c>
      <c r="P122" s="9">
        <f t="shared" si="38"/>
        <v>65.975000000000009</v>
      </c>
      <c r="Q122" s="5">
        <f t="shared" si="39"/>
        <v>65.975000000000009</v>
      </c>
      <c r="R122" s="5">
        <f t="shared" si="40"/>
        <v>16.493750000000002</v>
      </c>
      <c r="S122" s="8">
        <f t="shared" si="33"/>
        <v>5.7371386081282942</v>
      </c>
      <c r="T122" s="7">
        <f t="shared" si="34"/>
        <v>6.1244627650741339E-2</v>
      </c>
    </row>
    <row r="123" spans="1:20" hidden="1" x14ac:dyDescent="0.25">
      <c r="A123" t="str">
        <f t="shared" si="31"/>
        <v>43646Secured Loan</v>
      </c>
      <c r="B123" t="str">
        <f t="shared" si="32"/>
        <v>43646Minerva</v>
      </c>
      <c r="C123" s="4">
        <v>43646</v>
      </c>
      <c r="D123" t="s">
        <v>20</v>
      </c>
      <c r="E123" t="s">
        <v>28</v>
      </c>
      <c r="F123" t="s">
        <v>39</v>
      </c>
      <c r="G123" t="s">
        <v>34</v>
      </c>
      <c r="H123" s="5">
        <v>1190</v>
      </c>
      <c r="I123" s="4">
        <v>45078</v>
      </c>
      <c r="J123" t="s">
        <v>30</v>
      </c>
      <c r="K123" s="10">
        <v>6.5000000000000002E-2</v>
      </c>
      <c r="L123" s="10">
        <v>6.5000000000000002E-2</v>
      </c>
      <c r="M123" s="8">
        <f t="shared" si="35"/>
        <v>3.9232876712328766</v>
      </c>
      <c r="N123">
        <f t="shared" si="36"/>
        <v>2023</v>
      </c>
      <c r="O123" s="8">
        <f t="shared" si="37"/>
        <v>4668.7123287671229</v>
      </c>
      <c r="P123" s="9">
        <f t="shared" si="38"/>
        <v>77.350000000000009</v>
      </c>
      <c r="Q123" s="5">
        <f t="shared" si="39"/>
        <v>77.350000000000009</v>
      </c>
      <c r="R123" s="5">
        <f t="shared" si="40"/>
        <v>19.337500000000002</v>
      </c>
      <c r="S123" s="8">
        <f t="shared" si="33"/>
        <v>5.7371386081282942</v>
      </c>
      <c r="T123" s="7">
        <f t="shared" si="34"/>
        <v>6.1244627650741339E-2</v>
      </c>
    </row>
    <row r="124" spans="1:20" hidden="1" x14ac:dyDescent="0.25">
      <c r="A124" t="str">
        <f t="shared" si="31"/>
        <v>43646Secured Loan</v>
      </c>
      <c r="B124" t="str">
        <f t="shared" si="32"/>
        <v>43646Minerva</v>
      </c>
      <c r="C124" s="4">
        <v>43646</v>
      </c>
      <c r="D124" t="s">
        <v>20</v>
      </c>
      <c r="E124" t="s">
        <v>28</v>
      </c>
      <c r="F124" t="s">
        <v>39</v>
      </c>
      <c r="G124" t="s">
        <v>34</v>
      </c>
      <c r="H124" s="5">
        <v>1282</v>
      </c>
      <c r="I124" s="4">
        <v>45444</v>
      </c>
      <c r="J124" t="s">
        <v>30</v>
      </c>
      <c r="K124" s="10">
        <v>6.5000000000000002E-2</v>
      </c>
      <c r="L124" s="10">
        <v>6.5000000000000002E-2</v>
      </c>
      <c r="M124" s="8">
        <f t="shared" si="35"/>
        <v>4.9260273972602739</v>
      </c>
      <c r="N124">
        <f t="shared" si="36"/>
        <v>2024</v>
      </c>
      <c r="O124" s="8">
        <f t="shared" si="37"/>
        <v>6315.1671232876715</v>
      </c>
      <c r="P124" s="9">
        <f t="shared" si="38"/>
        <v>83.33</v>
      </c>
      <c r="Q124" s="5">
        <f t="shared" si="39"/>
        <v>83.33</v>
      </c>
      <c r="R124" s="5">
        <f t="shared" si="40"/>
        <v>20.8325</v>
      </c>
      <c r="S124" s="8">
        <f t="shared" si="33"/>
        <v>5.7371386081282942</v>
      </c>
      <c r="T124" s="7">
        <f t="shared" si="34"/>
        <v>6.1244627650741339E-2</v>
      </c>
    </row>
    <row r="125" spans="1:20" hidden="1" x14ac:dyDescent="0.25">
      <c r="A125" t="str">
        <f t="shared" si="31"/>
        <v>43646Secured Loan</v>
      </c>
      <c r="B125" t="str">
        <f t="shared" si="32"/>
        <v>43646Minerva</v>
      </c>
      <c r="C125" s="4">
        <v>43646</v>
      </c>
      <c r="D125" t="s">
        <v>20</v>
      </c>
      <c r="E125" t="s">
        <v>28</v>
      </c>
      <c r="F125" t="s">
        <v>39</v>
      </c>
      <c r="G125" t="s">
        <v>34</v>
      </c>
      <c r="H125" s="5">
        <v>1381</v>
      </c>
      <c r="I125" s="4">
        <v>45809</v>
      </c>
      <c r="J125" t="s">
        <v>30</v>
      </c>
      <c r="K125" s="10">
        <v>6.5000000000000002E-2</v>
      </c>
      <c r="L125" s="10">
        <v>6.5000000000000002E-2</v>
      </c>
      <c r="M125" s="8">
        <f t="shared" si="35"/>
        <v>5.9260273972602739</v>
      </c>
      <c r="N125">
        <f t="shared" si="36"/>
        <v>2025</v>
      </c>
      <c r="O125" s="8">
        <f t="shared" si="37"/>
        <v>8183.8438356164379</v>
      </c>
      <c r="P125" s="9">
        <f t="shared" si="38"/>
        <v>89.765000000000001</v>
      </c>
      <c r="Q125" s="5">
        <f t="shared" si="39"/>
        <v>89.765000000000001</v>
      </c>
      <c r="R125" s="5">
        <f t="shared" si="40"/>
        <v>22.44125</v>
      </c>
      <c r="S125" s="8">
        <f t="shared" si="33"/>
        <v>5.7371386081282942</v>
      </c>
      <c r="T125" s="7">
        <f t="shared" si="34"/>
        <v>6.1244627650741339E-2</v>
      </c>
    </row>
    <row r="126" spans="1:20" hidden="1" x14ac:dyDescent="0.25">
      <c r="A126" t="str">
        <f t="shared" si="31"/>
        <v>43646Secured Loan</v>
      </c>
      <c r="B126" t="str">
        <f t="shared" si="32"/>
        <v>43646Minerva</v>
      </c>
      <c r="C126" s="4">
        <v>43646</v>
      </c>
      <c r="D126" t="s">
        <v>20</v>
      </c>
      <c r="E126" t="s">
        <v>28</v>
      </c>
      <c r="F126" t="s">
        <v>39</v>
      </c>
      <c r="G126" t="s">
        <v>34</v>
      </c>
      <c r="H126" s="5">
        <v>1488</v>
      </c>
      <c r="I126" s="4">
        <v>46174</v>
      </c>
      <c r="J126" t="s">
        <v>30</v>
      </c>
      <c r="K126" s="10">
        <v>6.5000000000000002E-2</v>
      </c>
      <c r="L126" s="10">
        <v>6.5000000000000002E-2</v>
      </c>
      <c r="M126" s="8">
        <f t="shared" si="35"/>
        <v>6.9260273972602739</v>
      </c>
      <c r="N126">
        <f t="shared" si="36"/>
        <v>2026</v>
      </c>
      <c r="O126" s="8">
        <f t="shared" si="37"/>
        <v>10305.928767123287</v>
      </c>
      <c r="P126" s="9">
        <f t="shared" si="38"/>
        <v>96.72</v>
      </c>
      <c r="Q126" s="5">
        <f t="shared" si="39"/>
        <v>96.72</v>
      </c>
      <c r="R126" s="5">
        <f t="shared" si="40"/>
        <v>24.18</v>
      </c>
      <c r="S126" s="8">
        <f t="shared" si="33"/>
        <v>5.7371386081282942</v>
      </c>
      <c r="T126" s="7">
        <f t="shared" si="34"/>
        <v>6.1244627650741339E-2</v>
      </c>
    </row>
    <row r="127" spans="1:20" hidden="1" x14ac:dyDescent="0.25">
      <c r="A127" t="str">
        <f t="shared" si="31"/>
        <v>43646Secured Loan</v>
      </c>
      <c r="B127" t="str">
        <f t="shared" si="32"/>
        <v>43646Minerva</v>
      </c>
      <c r="C127" s="4">
        <v>43646</v>
      </c>
      <c r="D127" t="s">
        <v>20</v>
      </c>
      <c r="E127" t="s">
        <v>28</v>
      </c>
      <c r="F127" t="s">
        <v>39</v>
      </c>
      <c r="G127" t="s">
        <v>34</v>
      </c>
      <c r="H127" s="5">
        <v>1651</v>
      </c>
      <c r="I127" s="4">
        <v>46539</v>
      </c>
      <c r="J127" t="s">
        <v>30</v>
      </c>
      <c r="K127" s="10">
        <v>6.5000000000000002E-2</v>
      </c>
      <c r="L127" s="10">
        <v>6.5000000000000002E-2</v>
      </c>
      <c r="M127" s="8">
        <f t="shared" si="35"/>
        <v>7.9260273972602739</v>
      </c>
      <c r="N127">
        <f t="shared" si="36"/>
        <v>2027</v>
      </c>
      <c r="O127" s="8">
        <f t="shared" si="37"/>
        <v>13085.871232876712</v>
      </c>
      <c r="P127" s="9">
        <f t="shared" si="38"/>
        <v>107.315</v>
      </c>
      <c r="Q127" s="5">
        <f t="shared" si="39"/>
        <v>107.315</v>
      </c>
      <c r="R127" s="5">
        <f t="shared" si="40"/>
        <v>26.828749999999999</v>
      </c>
      <c r="S127" s="8">
        <f t="shared" si="33"/>
        <v>5.7371386081282942</v>
      </c>
      <c r="T127" s="7">
        <f t="shared" si="34"/>
        <v>6.1244627650741339E-2</v>
      </c>
    </row>
    <row r="128" spans="1:20" hidden="1" x14ac:dyDescent="0.25">
      <c r="A128" t="str">
        <f t="shared" si="31"/>
        <v>43646Secured Loan</v>
      </c>
      <c r="B128" t="str">
        <f t="shared" si="32"/>
        <v>43646Minerva</v>
      </c>
      <c r="C128" s="4">
        <v>43646</v>
      </c>
      <c r="D128" t="s">
        <v>20</v>
      </c>
      <c r="E128" t="s">
        <v>28</v>
      </c>
      <c r="F128" t="s">
        <v>39</v>
      </c>
      <c r="G128" t="s">
        <v>34</v>
      </c>
      <c r="H128" s="5">
        <v>1729</v>
      </c>
      <c r="I128" s="4">
        <v>46905</v>
      </c>
      <c r="J128" t="s">
        <v>30</v>
      </c>
      <c r="K128" s="10">
        <v>6.5000000000000002E-2</v>
      </c>
      <c r="L128" s="10">
        <v>6.5000000000000002E-2</v>
      </c>
      <c r="M128" s="8">
        <f t="shared" si="35"/>
        <v>8.9287671232876704</v>
      </c>
      <c r="N128">
        <f t="shared" si="36"/>
        <v>2028</v>
      </c>
      <c r="O128" s="8">
        <f t="shared" si="37"/>
        <v>15437.838356164382</v>
      </c>
      <c r="P128" s="9">
        <f t="shared" si="38"/>
        <v>112.38500000000001</v>
      </c>
      <c r="Q128" s="5">
        <f t="shared" si="39"/>
        <v>112.38500000000001</v>
      </c>
      <c r="R128" s="5">
        <f t="shared" si="40"/>
        <v>28.096250000000001</v>
      </c>
      <c r="S128" s="8">
        <f t="shared" si="33"/>
        <v>5.7371386081282942</v>
      </c>
      <c r="T128" s="7">
        <f t="shared" si="34"/>
        <v>6.1244627650741339E-2</v>
      </c>
    </row>
    <row r="129" spans="1:20" hidden="1" x14ac:dyDescent="0.25">
      <c r="A129" t="str">
        <f t="shared" si="31"/>
        <v>43646Secured Loan</v>
      </c>
      <c r="B129" t="str">
        <f t="shared" si="32"/>
        <v>43646Minerva</v>
      </c>
      <c r="C129" s="4">
        <v>43646</v>
      </c>
      <c r="D129" t="s">
        <v>20</v>
      </c>
      <c r="E129" t="s">
        <v>28</v>
      </c>
      <c r="F129" t="s">
        <v>39</v>
      </c>
      <c r="G129" t="s">
        <v>34</v>
      </c>
      <c r="H129" s="5">
        <v>864</v>
      </c>
      <c r="I129" s="4">
        <v>47270</v>
      </c>
      <c r="J129" t="s">
        <v>30</v>
      </c>
      <c r="K129" s="10">
        <v>6.5000000000000002E-2</v>
      </c>
      <c r="L129" s="10">
        <v>6.5000000000000002E-2</v>
      </c>
      <c r="M129" s="8">
        <f t="shared" si="35"/>
        <v>9.9287671232876704</v>
      </c>
      <c r="N129">
        <f t="shared" si="36"/>
        <v>2029</v>
      </c>
      <c r="O129" s="8">
        <f t="shared" si="37"/>
        <v>8578.4547945205468</v>
      </c>
      <c r="P129" s="9">
        <f t="shared" si="38"/>
        <v>56.160000000000004</v>
      </c>
      <c r="Q129" s="5">
        <f t="shared" si="39"/>
        <v>56.160000000000004</v>
      </c>
      <c r="R129" s="5">
        <f t="shared" si="40"/>
        <v>14.040000000000001</v>
      </c>
      <c r="S129" s="8">
        <f t="shared" si="33"/>
        <v>5.7371386081282942</v>
      </c>
      <c r="T129" s="7">
        <f t="shared" si="34"/>
        <v>6.1244627650741339E-2</v>
      </c>
    </row>
    <row r="130" spans="1:20" hidden="1" x14ac:dyDescent="0.25">
      <c r="A130" t="str">
        <f t="shared" si="31"/>
        <v>43646Outros</v>
      </c>
      <c r="B130" t="str">
        <f t="shared" si="32"/>
        <v>43646Minerva</v>
      </c>
      <c r="C130" s="4">
        <v>43646</v>
      </c>
      <c r="D130" t="s">
        <v>20</v>
      </c>
      <c r="E130" t="s">
        <v>28</v>
      </c>
      <c r="F130" t="s">
        <v>28</v>
      </c>
      <c r="G130" t="s">
        <v>34</v>
      </c>
      <c r="H130" s="5">
        <v>341204</v>
      </c>
      <c r="I130" s="4">
        <v>43983</v>
      </c>
      <c r="J130" t="s">
        <v>30</v>
      </c>
      <c r="K130" s="10">
        <v>6.5000000000000002E-2</v>
      </c>
      <c r="L130" s="10">
        <v>6.5000000000000002E-2</v>
      </c>
      <c r="M130" s="8">
        <f t="shared" si="35"/>
        <v>0.92328767123287669</v>
      </c>
      <c r="N130">
        <f t="shared" si="36"/>
        <v>2020</v>
      </c>
      <c r="O130" s="8">
        <f t="shared" si="37"/>
        <v>315029.44657534244</v>
      </c>
      <c r="P130" s="9">
        <f t="shared" si="38"/>
        <v>22178.260000000002</v>
      </c>
      <c r="Q130" s="5">
        <f t="shared" si="39"/>
        <v>22178.260000000002</v>
      </c>
      <c r="R130" s="5">
        <f t="shared" si="40"/>
        <v>5544.5650000000005</v>
      </c>
      <c r="S130" s="8">
        <f t="shared" si="33"/>
        <v>5.7371386081282942</v>
      </c>
      <c r="T130" s="7">
        <f t="shared" si="34"/>
        <v>6.1244627650741339E-2</v>
      </c>
    </row>
    <row r="131" spans="1:20" hidden="1" x14ac:dyDescent="0.25">
      <c r="A131" t="str">
        <f t="shared" si="31"/>
        <v>43646Derivativos</v>
      </c>
      <c r="B131" t="str">
        <f t="shared" si="32"/>
        <v>43646Minerva</v>
      </c>
      <c r="C131" s="4">
        <v>43646</v>
      </c>
      <c r="D131" t="s">
        <v>20</v>
      </c>
      <c r="E131" t="s">
        <v>28</v>
      </c>
      <c r="F131" t="s">
        <v>40</v>
      </c>
      <c r="G131" t="s">
        <v>23</v>
      </c>
      <c r="H131" s="5">
        <v>-18194</v>
      </c>
      <c r="I131" s="4">
        <v>43983</v>
      </c>
      <c r="J131" t="s">
        <v>30</v>
      </c>
      <c r="K131" s="10">
        <v>6.5000000000000002E-2</v>
      </c>
      <c r="L131" s="10">
        <v>6.5000000000000002E-2</v>
      </c>
      <c r="M131" s="8">
        <f t="shared" si="35"/>
        <v>0.92328767123287669</v>
      </c>
      <c r="N131">
        <f t="shared" si="36"/>
        <v>2020</v>
      </c>
      <c r="O131" s="8">
        <f t="shared" si="37"/>
        <v>-16798.295890410958</v>
      </c>
      <c r="P131" s="9">
        <f t="shared" si="38"/>
        <v>-1182.6100000000001</v>
      </c>
      <c r="Q131" s="5">
        <f t="shared" si="39"/>
        <v>-1182.6100000000001</v>
      </c>
      <c r="R131" s="5">
        <f t="shared" si="40"/>
        <v>-295.65250000000003</v>
      </c>
      <c r="S131" s="8">
        <f t="shared" si="33"/>
        <v>5.7371386081282942</v>
      </c>
      <c r="T131" s="7">
        <f t="shared" si="34"/>
        <v>6.1244627650741339E-2</v>
      </c>
    </row>
    <row r="132" spans="1:20" hidden="1" x14ac:dyDescent="0.25">
      <c r="A132" t="str">
        <f t="shared" si="31"/>
        <v>43646Derivativos</v>
      </c>
      <c r="B132" t="str">
        <f t="shared" si="32"/>
        <v>43646Minerva</v>
      </c>
      <c r="C132" s="4">
        <v>43646</v>
      </c>
      <c r="D132" t="s">
        <v>20</v>
      </c>
      <c r="E132" t="s">
        <v>28</v>
      </c>
      <c r="F132" t="s">
        <v>40</v>
      </c>
      <c r="G132" t="s">
        <v>23</v>
      </c>
      <c r="H132" s="5">
        <v>-616385</v>
      </c>
      <c r="I132" s="4">
        <v>43983</v>
      </c>
      <c r="J132" t="s">
        <v>30</v>
      </c>
      <c r="K132" s="10">
        <v>6.5000000000000002E-2</v>
      </c>
      <c r="L132" s="10">
        <v>6.5000000000000002E-2</v>
      </c>
      <c r="M132" s="8">
        <f t="shared" si="35"/>
        <v>0.92328767123287669</v>
      </c>
      <c r="N132">
        <f t="shared" si="36"/>
        <v>2020</v>
      </c>
      <c r="O132" s="8">
        <f t="shared" si="37"/>
        <v>-569100.67123287672</v>
      </c>
      <c r="P132" s="9">
        <f t="shared" si="38"/>
        <v>-40065.025000000001</v>
      </c>
      <c r="Q132" s="5">
        <f t="shared" si="39"/>
        <v>-40065.025000000001</v>
      </c>
      <c r="R132" s="5">
        <f t="shared" si="40"/>
        <v>-10016.25625</v>
      </c>
      <c r="S132" s="8">
        <f t="shared" si="33"/>
        <v>5.7371386081282942</v>
      </c>
      <c r="T132" s="7">
        <f t="shared" si="34"/>
        <v>6.1244627650741339E-2</v>
      </c>
    </row>
    <row r="133" spans="1:20" hidden="1" x14ac:dyDescent="0.25">
      <c r="A133" t="str">
        <f t="shared" si="31"/>
        <v/>
      </c>
      <c r="B133" t="str">
        <f t="shared" si="32"/>
        <v/>
      </c>
      <c r="H133" s="5"/>
      <c r="L133" s="7"/>
      <c r="S133" s="11"/>
      <c r="T133" s="11"/>
    </row>
    <row r="134" spans="1:20" s="15" customFormat="1" hidden="1" x14ac:dyDescent="0.25">
      <c r="A134" s="15" t="str">
        <f t="shared" si="31"/>
        <v>43555Debênture 2020</v>
      </c>
      <c r="B134" s="15" t="str">
        <f t="shared" si="32"/>
        <v>43555Minerva</v>
      </c>
      <c r="C134" s="16">
        <v>43555</v>
      </c>
      <c r="D134" s="15" t="s">
        <v>20</v>
      </c>
      <c r="E134" s="15" t="s">
        <v>21</v>
      </c>
      <c r="F134" s="15" t="s">
        <v>22</v>
      </c>
      <c r="G134" s="15" t="s">
        <v>23</v>
      </c>
      <c r="H134" s="17">
        <v>358245</v>
      </c>
      <c r="I134" s="16">
        <v>44106</v>
      </c>
      <c r="J134" s="15" t="s">
        <v>24</v>
      </c>
      <c r="K134" s="21">
        <v>1.0549999999999999</v>
      </c>
      <c r="L134" s="18">
        <f>(((1+4.4%)^(1/252)-1)*K134+1)^(252)-1</f>
        <v>4.6475182575541618E-2</v>
      </c>
      <c r="M134" s="19">
        <f>(I134-C134)/365</f>
        <v>1.5095890410958903</v>
      </c>
      <c r="N134" s="15">
        <f>YEAR(I134)</f>
        <v>2020</v>
      </c>
      <c r="O134" s="19">
        <f>M134*H134</f>
        <v>540802.72602739721</v>
      </c>
      <c r="P134" s="20">
        <f>L134*H134</f>
        <v>16649.501781774907</v>
      </c>
      <c r="Q134" s="17">
        <f>H134*L134</f>
        <v>16649.501781774907</v>
      </c>
      <c r="R134" s="17">
        <f>Q134/4</f>
        <v>4162.3754454437267</v>
      </c>
      <c r="S134" s="19">
        <f t="shared" ref="S134:S151" si="42">SUMIFS($O:$O,$C:$C,$C134,$D:$D,D134)/SUMIFS($H:$H,$C:$C,$C134,$D:$D,D134)</f>
        <v>5.7253725210738216</v>
      </c>
      <c r="T134" s="18">
        <f t="shared" ref="T134:T151" si="43">SUMIFS($P:$P,$C:$C,$C134,$D:$D,D134)/SUMIFS($H:$H,$C:$C,$C134,$D:$D,D134)</f>
        <v>6.1944681892534548E-2</v>
      </c>
    </row>
    <row r="135" spans="1:20" hidden="1" x14ac:dyDescent="0.25">
      <c r="A135" t="str">
        <f t="shared" si="31"/>
        <v>43555CCB</v>
      </c>
      <c r="B135" t="str">
        <f t="shared" si="32"/>
        <v>43555Minerva</v>
      </c>
      <c r="C135" s="4">
        <v>43555</v>
      </c>
      <c r="D135" t="s">
        <v>20</v>
      </c>
      <c r="E135" t="s">
        <v>28</v>
      </c>
      <c r="F135" t="s">
        <v>29</v>
      </c>
      <c r="G135" t="s">
        <v>23</v>
      </c>
      <c r="H135" s="5">
        <v>21482</v>
      </c>
      <c r="I135" s="4">
        <v>43983</v>
      </c>
      <c r="J135" t="s">
        <v>30</v>
      </c>
      <c r="K135" s="10">
        <v>8.3500000000000005E-2</v>
      </c>
      <c r="L135" s="10">
        <v>8.3500000000000005E-2</v>
      </c>
      <c r="M135" s="8">
        <f t="shared" ref="M135:M151" si="44">(I135-C135)/365</f>
        <v>1.1726027397260275</v>
      </c>
      <c r="N135">
        <f t="shared" ref="N135:N151" si="45">YEAR(I135)</f>
        <v>2020</v>
      </c>
      <c r="O135" s="8">
        <f t="shared" ref="O135:O151" si="46">M135*H135</f>
        <v>25189.852054794523</v>
      </c>
      <c r="P135" s="9">
        <f t="shared" ref="P135:P151" si="47">L135*H135</f>
        <v>1793.7470000000001</v>
      </c>
      <c r="Q135" s="5">
        <f t="shared" ref="Q135:Q151" si="48">H135*L135</f>
        <v>1793.7470000000001</v>
      </c>
      <c r="R135" s="5">
        <f t="shared" ref="R135:R151" si="49">Q135/4</f>
        <v>448.43675000000002</v>
      </c>
      <c r="S135" s="8">
        <f t="shared" si="42"/>
        <v>5.7253725210738216</v>
      </c>
      <c r="T135" s="7">
        <f t="shared" si="43"/>
        <v>6.1944681892534548E-2</v>
      </c>
    </row>
    <row r="136" spans="1:20" hidden="1" x14ac:dyDescent="0.25">
      <c r="A136" t="str">
        <f t="shared" si="31"/>
        <v>43555NCE</v>
      </c>
      <c r="B136" t="str">
        <f t="shared" si="32"/>
        <v>43555Minerva</v>
      </c>
      <c r="C136" s="4">
        <v>43555</v>
      </c>
      <c r="D136" t="s">
        <v>20</v>
      </c>
      <c r="E136" t="s">
        <v>31</v>
      </c>
      <c r="F136" t="s">
        <v>31</v>
      </c>
      <c r="G136" t="s">
        <v>23</v>
      </c>
      <c r="H136" s="5">
        <v>317851</v>
      </c>
      <c r="I136" s="4">
        <v>43983</v>
      </c>
      <c r="J136" t="s">
        <v>24</v>
      </c>
      <c r="K136" s="10">
        <v>0.03</v>
      </c>
      <c r="L136" s="7">
        <f t="shared" ref="L136:L137" si="50">(1+3%)*(1+K136)-1</f>
        <v>6.0899999999999954E-2</v>
      </c>
      <c r="M136" s="8">
        <f t="shared" si="44"/>
        <v>1.1726027397260275</v>
      </c>
      <c r="N136">
        <f t="shared" si="45"/>
        <v>2020</v>
      </c>
      <c r="O136" s="8">
        <f t="shared" si="46"/>
        <v>372712.95342465758</v>
      </c>
      <c r="P136" s="9">
        <f t="shared" si="47"/>
        <v>19357.125899999985</v>
      </c>
      <c r="Q136" s="5">
        <f t="shared" si="48"/>
        <v>19357.125899999985</v>
      </c>
      <c r="R136" s="5">
        <f t="shared" si="49"/>
        <v>4839.2814749999961</v>
      </c>
      <c r="S136" s="8">
        <f t="shared" si="42"/>
        <v>5.7253725210738216</v>
      </c>
      <c r="T136" s="7">
        <f t="shared" si="43"/>
        <v>6.1944681892534548E-2</v>
      </c>
    </row>
    <row r="137" spans="1:20" hidden="1" x14ac:dyDescent="0.25">
      <c r="A137" t="str">
        <f t="shared" si="31"/>
        <v>43555NCE</v>
      </c>
      <c r="B137" t="str">
        <f t="shared" si="32"/>
        <v>43555Minerva</v>
      </c>
      <c r="C137" s="4">
        <v>43555</v>
      </c>
      <c r="D137" t="s">
        <v>20</v>
      </c>
      <c r="E137" t="s">
        <v>31</v>
      </c>
      <c r="F137" t="s">
        <v>31</v>
      </c>
      <c r="G137" t="s">
        <v>23</v>
      </c>
      <c r="H137" s="5">
        <v>574255</v>
      </c>
      <c r="I137" s="4">
        <v>43983</v>
      </c>
      <c r="J137" t="s">
        <v>42</v>
      </c>
      <c r="K137" s="10">
        <v>0.03</v>
      </c>
      <c r="L137" s="7">
        <f t="shared" si="50"/>
        <v>6.0899999999999954E-2</v>
      </c>
      <c r="M137" s="8">
        <f t="shared" si="44"/>
        <v>1.1726027397260275</v>
      </c>
      <c r="N137">
        <f t="shared" si="45"/>
        <v>2020</v>
      </c>
      <c r="O137" s="8">
        <f t="shared" si="46"/>
        <v>673372.98630136985</v>
      </c>
      <c r="P137" s="9">
        <f t="shared" si="47"/>
        <v>34972.129499999974</v>
      </c>
      <c r="Q137" s="5">
        <f t="shared" si="48"/>
        <v>34972.129499999974</v>
      </c>
      <c r="R137" s="5">
        <f t="shared" si="49"/>
        <v>8743.0323749999934</v>
      </c>
      <c r="S137" s="8">
        <f t="shared" si="42"/>
        <v>5.7253725210738216</v>
      </c>
      <c r="T137" s="7">
        <f t="shared" si="43"/>
        <v>6.1944681892534548E-2</v>
      </c>
    </row>
    <row r="138" spans="1:20" hidden="1" x14ac:dyDescent="0.25">
      <c r="A138" t="str">
        <f t="shared" si="31"/>
        <v>43555IFC</v>
      </c>
      <c r="B138" t="str">
        <f t="shared" si="32"/>
        <v>43555Minerva</v>
      </c>
      <c r="C138" s="4">
        <v>43555</v>
      </c>
      <c r="D138" t="s">
        <v>20</v>
      </c>
      <c r="E138" t="s">
        <v>28</v>
      </c>
      <c r="F138" t="s">
        <v>32</v>
      </c>
      <c r="G138" t="s">
        <v>23</v>
      </c>
      <c r="H138" s="5">
        <v>26105</v>
      </c>
      <c r="I138" s="4">
        <v>43570</v>
      </c>
      <c r="J138" t="s">
        <v>24</v>
      </c>
      <c r="K138" s="10">
        <v>2.35E-2</v>
      </c>
      <c r="L138" s="7">
        <f>(1+3%)*(1+K138)-1</f>
        <v>5.4205000000000059E-2</v>
      </c>
      <c r="M138" s="8">
        <f t="shared" si="44"/>
        <v>4.1095890410958902E-2</v>
      </c>
      <c r="N138">
        <f t="shared" si="45"/>
        <v>2019</v>
      </c>
      <c r="O138" s="8">
        <f t="shared" si="46"/>
        <v>1072.808219178082</v>
      </c>
      <c r="P138" s="9">
        <f t="shared" si="47"/>
        <v>1415.0215250000015</v>
      </c>
      <c r="Q138" s="5">
        <f t="shared" si="48"/>
        <v>1415.0215250000015</v>
      </c>
      <c r="R138" s="5">
        <f t="shared" si="49"/>
        <v>353.75538125000037</v>
      </c>
      <c r="S138" s="8">
        <f t="shared" si="42"/>
        <v>5.7253725210738216</v>
      </c>
      <c r="T138" s="7">
        <f t="shared" si="43"/>
        <v>6.1944681892534548E-2</v>
      </c>
    </row>
    <row r="139" spans="1:20" hidden="1" x14ac:dyDescent="0.25">
      <c r="A139" t="str">
        <f t="shared" si="31"/>
        <v>43555IFC</v>
      </c>
      <c r="B139" t="str">
        <f t="shared" si="32"/>
        <v>43555Minerva</v>
      </c>
      <c r="C139" s="4">
        <v>43555</v>
      </c>
      <c r="D139" t="s">
        <v>20</v>
      </c>
      <c r="E139" t="s">
        <v>28</v>
      </c>
      <c r="F139" t="s">
        <v>32</v>
      </c>
      <c r="G139" t="s">
        <v>23</v>
      </c>
      <c r="H139" s="5">
        <f>8607--2797</f>
        <v>11404</v>
      </c>
      <c r="I139" s="4">
        <v>43936</v>
      </c>
      <c r="J139" t="s">
        <v>24</v>
      </c>
      <c r="K139" s="10">
        <v>2.35E-2</v>
      </c>
      <c r="L139" s="7">
        <f>(1+3%)*(1+K139)-1</f>
        <v>5.4205000000000059E-2</v>
      </c>
      <c r="M139" s="8">
        <f t="shared" si="44"/>
        <v>1.0438356164383562</v>
      </c>
      <c r="N139">
        <f t="shared" si="45"/>
        <v>2020</v>
      </c>
      <c r="O139" s="8">
        <f t="shared" si="46"/>
        <v>11903.901369863013</v>
      </c>
      <c r="P139" s="9">
        <f t="shared" si="47"/>
        <v>618.15382000000068</v>
      </c>
      <c r="Q139" s="5">
        <f t="shared" si="48"/>
        <v>618.15382000000068</v>
      </c>
      <c r="R139" s="5">
        <f t="shared" si="49"/>
        <v>154.53845500000017</v>
      </c>
      <c r="S139" s="8">
        <f t="shared" si="42"/>
        <v>5.7253725210738216</v>
      </c>
      <c r="T139" s="7">
        <f t="shared" si="43"/>
        <v>6.1944681892534548E-2</v>
      </c>
    </row>
    <row r="140" spans="1:20" hidden="1" x14ac:dyDescent="0.25">
      <c r="A140" t="str">
        <f t="shared" si="31"/>
        <v>43555IFC</v>
      </c>
      <c r="B140" t="str">
        <f t="shared" si="32"/>
        <v>43555Minerva</v>
      </c>
      <c r="C140" s="4">
        <v>43555</v>
      </c>
      <c r="D140" t="s">
        <v>20</v>
      </c>
      <c r="E140" t="s">
        <v>28</v>
      </c>
      <c r="F140" t="s">
        <v>32</v>
      </c>
      <c r="G140" t="s">
        <v>23</v>
      </c>
      <c r="H140" s="5">
        <v>17215</v>
      </c>
      <c r="I140" s="4">
        <v>44301</v>
      </c>
      <c r="J140" t="s">
        <v>24</v>
      </c>
      <c r="K140" s="10">
        <v>2.35E-2</v>
      </c>
      <c r="L140" s="7">
        <f>(1+3%)*(1+K140)-1</f>
        <v>5.4205000000000059E-2</v>
      </c>
      <c r="M140" s="8">
        <f t="shared" si="44"/>
        <v>2.043835616438356</v>
      </c>
      <c r="N140">
        <f t="shared" si="45"/>
        <v>2021</v>
      </c>
      <c r="O140" s="8">
        <f t="shared" si="46"/>
        <v>35184.630136986299</v>
      </c>
      <c r="P140" s="9">
        <f t="shared" si="47"/>
        <v>933.13907500000096</v>
      </c>
      <c r="Q140" s="5">
        <f t="shared" si="48"/>
        <v>933.13907500000096</v>
      </c>
      <c r="R140" s="5">
        <f t="shared" si="49"/>
        <v>233.28476875000024</v>
      </c>
      <c r="S140" s="8">
        <f t="shared" si="42"/>
        <v>5.7253725210738216</v>
      </c>
      <c r="T140" s="7">
        <f t="shared" si="43"/>
        <v>6.1944681892534548E-2</v>
      </c>
    </row>
    <row r="141" spans="1:20" hidden="1" x14ac:dyDescent="0.25">
      <c r="A141" t="str">
        <f t="shared" si="31"/>
        <v>43555IFC</v>
      </c>
      <c r="B141" t="str">
        <f t="shared" si="32"/>
        <v>43555Minerva</v>
      </c>
      <c r="C141" s="4">
        <v>43555</v>
      </c>
      <c r="D141" t="s">
        <v>20</v>
      </c>
      <c r="E141" t="s">
        <v>28</v>
      </c>
      <c r="F141" t="s">
        <v>32</v>
      </c>
      <c r="G141" t="s">
        <v>23</v>
      </c>
      <c r="H141" s="5">
        <v>17215</v>
      </c>
      <c r="I141" s="4">
        <v>44666</v>
      </c>
      <c r="J141" t="s">
        <v>24</v>
      </c>
      <c r="K141" s="10">
        <v>2.35E-2</v>
      </c>
      <c r="L141" s="7">
        <f>(1+3%)*(1+K141)-1</f>
        <v>5.4205000000000059E-2</v>
      </c>
      <c r="M141" s="8">
        <f t="shared" si="44"/>
        <v>3.043835616438356</v>
      </c>
      <c r="N141">
        <f t="shared" si="45"/>
        <v>2022</v>
      </c>
      <c r="O141" s="8">
        <f t="shared" si="46"/>
        <v>52399.630136986299</v>
      </c>
      <c r="P141" s="9">
        <f t="shared" si="47"/>
        <v>933.13907500000096</v>
      </c>
      <c r="Q141" s="5">
        <f t="shared" si="48"/>
        <v>933.13907500000096</v>
      </c>
      <c r="R141" s="5">
        <f t="shared" si="49"/>
        <v>233.28476875000024</v>
      </c>
      <c r="S141" s="8">
        <f t="shared" si="42"/>
        <v>5.7253725210738216</v>
      </c>
      <c r="T141" s="7">
        <f t="shared" si="43"/>
        <v>6.1944681892534548E-2</v>
      </c>
    </row>
    <row r="142" spans="1:20" hidden="1" x14ac:dyDescent="0.25">
      <c r="A142" t="str">
        <f t="shared" si="31"/>
        <v>43555IFC</v>
      </c>
      <c r="B142" t="str">
        <f t="shared" si="32"/>
        <v>43555Minerva</v>
      </c>
      <c r="C142" s="4">
        <v>43555</v>
      </c>
      <c r="D142" t="s">
        <v>20</v>
      </c>
      <c r="E142" t="s">
        <v>28</v>
      </c>
      <c r="F142" t="s">
        <v>32</v>
      </c>
      <c r="G142" t="s">
        <v>23</v>
      </c>
      <c r="H142" s="5">
        <v>8607</v>
      </c>
      <c r="I142" s="4">
        <v>45031</v>
      </c>
      <c r="J142" t="s">
        <v>24</v>
      </c>
      <c r="K142" s="10">
        <v>2.35E-2</v>
      </c>
      <c r="L142" s="7">
        <f>(1+3%)*(1+K142)-1</f>
        <v>5.4205000000000059E-2</v>
      </c>
      <c r="M142" s="8">
        <f t="shared" si="44"/>
        <v>4.043835616438356</v>
      </c>
      <c r="N142">
        <f t="shared" si="45"/>
        <v>2023</v>
      </c>
      <c r="O142" s="8">
        <f t="shared" si="46"/>
        <v>34805.293150684927</v>
      </c>
      <c r="P142" s="9">
        <f t="shared" si="47"/>
        <v>466.54243500000052</v>
      </c>
      <c r="Q142" s="5">
        <f t="shared" si="48"/>
        <v>466.54243500000052</v>
      </c>
      <c r="R142" s="5">
        <f t="shared" si="49"/>
        <v>116.63560875000013</v>
      </c>
      <c r="S142" s="8">
        <f t="shared" si="42"/>
        <v>5.7253725210738216</v>
      </c>
      <c r="T142" s="7">
        <f t="shared" si="43"/>
        <v>6.1944681892534548E-2</v>
      </c>
    </row>
    <row r="143" spans="1:20" hidden="1" x14ac:dyDescent="0.25">
      <c r="A143" t="str">
        <f t="shared" si="31"/>
        <v>43555ACC</v>
      </c>
      <c r="B143" t="str">
        <f t="shared" si="32"/>
        <v>43555Minerva</v>
      </c>
      <c r="C143" s="4">
        <v>43555</v>
      </c>
      <c r="D143" t="s">
        <v>20</v>
      </c>
      <c r="E143" t="s">
        <v>33</v>
      </c>
      <c r="F143" t="s">
        <v>33</v>
      </c>
      <c r="G143" t="s">
        <v>34</v>
      </c>
      <c r="H143" s="5">
        <v>1436151</v>
      </c>
      <c r="I143" s="4">
        <v>43830</v>
      </c>
      <c r="J143" t="s">
        <v>30</v>
      </c>
      <c r="K143" s="10">
        <v>6.5000000000000002E-2</v>
      </c>
      <c r="L143" s="10">
        <v>5.5E-2</v>
      </c>
      <c r="M143" s="8">
        <f t="shared" si="44"/>
        <v>0.75342465753424659</v>
      </c>
      <c r="N143">
        <f t="shared" si="45"/>
        <v>2019</v>
      </c>
      <c r="O143" s="8">
        <f t="shared" si="46"/>
        <v>1082031.5753424657</v>
      </c>
      <c r="P143" s="9">
        <f t="shared" si="47"/>
        <v>78988.305000000008</v>
      </c>
      <c r="Q143" s="5">
        <f t="shared" si="48"/>
        <v>78988.305000000008</v>
      </c>
      <c r="R143" s="5">
        <f t="shared" si="49"/>
        <v>19747.076250000002</v>
      </c>
      <c r="S143" s="8">
        <f t="shared" si="42"/>
        <v>5.7253725210738216</v>
      </c>
      <c r="T143" s="7">
        <f t="shared" si="43"/>
        <v>6.1944681892534548E-2</v>
      </c>
    </row>
    <row r="144" spans="1:20" hidden="1" x14ac:dyDescent="0.25">
      <c r="A144" t="str">
        <f t="shared" si="31"/>
        <v>43555Bond</v>
      </c>
      <c r="B144" t="str">
        <f t="shared" si="32"/>
        <v>43555Minerva</v>
      </c>
      <c r="C144" s="4">
        <v>43555</v>
      </c>
      <c r="D144" t="s">
        <v>20</v>
      </c>
      <c r="E144" t="s">
        <v>35</v>
      </c>
      <c r="F144" t="s">
        <v>35</v>
      </c>
      <c r="G144" t="s">
        <v>34</v>
      </c>
      <c r="H144" s="5">
        <v>4450150</v>
      </c>
      <c r="I144" s="4">
        <v>46285</v>
      </c>
      <c r="J144" t="s">
        <v>30</v>
      </c>
      <c r="K144" s="10">
        <v>6.5000000000000002E-2</v>
      </c>
      <c r="L144" s="10">
        <v>6.5000000000000002E-2</v>
      </c>
      <c r="M144" s="8">
        <f t="shared" si="44"/>
        <v>7.4794520547945202</v>
      </c>
      <c r="N144">
        <f t="shared" si="45"/>
        <v>2026</v>
      </c>
      <c r="O144" s="8">
        <f t="shared" si="46"/>
        <v>33284683.561643835</v>
      </c>
      <c r="P144" s="9">
        <f t="shared" si="47"/>
        <v>289259.75</v>
      </c>
      <c r="Q144" s="5">
        <f t="shared" si="48"/>
        <v>289259.75</v>
      </c>
      <c r="R144" s="5">
        <f t="shared" si="49"/>
        <v>72314.9375</v>
      </c>
      <c r="S144" s="8">
        <f t="shared" si="42"/>
        <v>5.7253725210738216</v>
      </c>
      <c r="T144" s="7">
        <f t="shared" si="43"/>
        <v>6.1944681892534548E-2</v>
      </c>
    </row>
    <row r="145" spans="1:20" hidden="1" x14ac:dyDescent="0.25">
      <c r="A145" t="str">
        <f t="shared" si="31"/>
        <v>43555Bond</v>
      </c>
      <c r="B145" t="str">
        <f t="shared" si="32"/>
        <v>43555Minerva</v>
      </c>
      <c r="C145" s="4">
        <v>43555</v>
      </c>
      <c r="D145" t="s">
        <v>20</v>
      </c>
      <c r="E145" t="s">
        <v>35</v>
      </c>
      <c r="F145" t="s">
        <v>35</v>
      </c>
      <c r="G145" t="s">
        <v>34</v>
      </c>
      <c r="H145" s="5">
        <v>1824374</v>
      </c>
      <c r="I145" s="4">
        <v>47016</v>
      </c>
      <c r="J145" t="s">
        <v>30</v>
      </c>
      <c r="K145" s="10">
        <v>5.8749999999999997E-2</v>
      </c>
      <c r="L145" s="10">
        <v>6.5000000000000002E-2</v>
      </c>
      <c r="M145" s="8">
        <f t="shared" si="44"/>
        <v>9.4821917808219176</v>
      </c>
      <c r="N145">
        <f t="shared" si="45"/>
        <v>2028</v>
      </c>
      <c r="O145" s="8">
        <f t="shared" si="46"/>
        <v>17299064.147945207</v>
      </c>
      <c r="P145" s="9">
        <f t="shared" si="47"/>
        <v>118584.31</v>
      </c>
      <c r="Q145" s="5">
        <f t="shared" si="48"/>
        <v>118584.31</v>
      </c>
      <c r="R145" s="5">
        <f t="shared" si="49"/>
        <v>29646.077499999999</v>
      </c>
      <c r="S145" s="8">
        <f t="shared" si="42"/>
        <v>5.7253725210738216</v>
      </c>
      <c r="T145" s="7">
        <f t="shared" si="43"/>
        <v>6.1944681892534548E-2</v>
      </c>
    </row>
    <row r="146" spans="1:20" hidden="1" x14ac:dyDescent="0.25">
      <c r="A146" t="str">
        <f t="shared" si="31"/>
        <v>43555Bond</v>
      </c>
      <c r="B146" t="str">
        <f t="shared" si="32"/>
        <v>43555Minerva</v>
      </c>
      <c r="C146" s="4">
        <v>43555</v>
      </c>
      <c r="D146" t="s">
        <v>20</v>
      </c>
      <c r="E146" t="s">
        <v>35</v>
      </c>
      <c r="F146" t="s">
        <v>35</v>
      </c>
      <c r="G146" t="s">
        <v>34</v>
      </c>
      <c r="H146" s="5">
        <v>280659</v>
      </c>
      <c r="I146" s="4">
        <v>47016</v>
      </c>
      <c r="J146" t="s">
        <v>30</v>
      </c>
      <c r="K146" s="10">
        <v>8.7499999999999994E-2</v>
      </c>
      <c r="L146" s="10">
        <v>8.7499999999999994E-2</v>
      </c>
      <c r="M146" s="8">
        <f t="shared" si="44"/>
        <v>9.4821917808219176</v>
      </c>
      <c r="N146">
        <f t="shared" si="45"/>
        <v>2028</v>
      </c>
      <c r="O146" s="8">
        <f t="shared" si="46"/>
        <v>2661262.4630136983</v>
      </c>
      <c r="P146" s="9">
        <f t="shared" si="47"/>
        <v>24557.662499999999</v>
      </c>
      <c r="Q146" s="5">
        <f t="shared" si="48"/>
        <v>24557.662499999999</v>
      </c>
      <c r="R146" s="5">
        <f t="shared" si="49"/>
        <v>6139.4156249999996</v>
      </c>
      <c r="S146" s="8">
        <f t="shared" si="42"/>
        <v>5.7253725210738216</v>
      </c>
      <c r="T146" s="7">
        <f t="shared" si="43"/>
        <v>6.1944681892534548E-2</v>
      </c>
    </row>
    <row r="147" spans="1:20" hidden="1" x14ac:dyDescent="0.25">
      <c r="A147" t="str">
        <f t="shared" si="31"/>
        <v>43555PPE</v>
      </c>
      <c r="B147" t="str">
        <f t="shared" si="32"/>
        <v>43555Minerva</v>
      </c>
      <c r="C147" s="4">
        <v>43555</v>
      </c>
      <c r="D147" t="s">
        <v>20</v>
      </c>
      <c r="E147" t="s">
        <v>36</v>
      </c>
      <c r="F147" t="s">
        <v>36</v>
      </c>
      <c r="G147" t="s">
        <v>34</v>
      </c>
      <c r="H147" s="5">
        <v>452662</v>
      </c>
      <c r="I147" s="4">
        <v>44348</v>
      </c>
      <c r="J147" t="s">
        <v>37</v>
      </c>
      <c r="K147" s="12">
        <v>0.02</v>
      </c>
      <c r="L147" s="7">
        <v>3.9E-2</v>
      </c>
      <c r="M147" s="8">
        <f t="shared" si="44"/>
        <v>2.1726027397260275</v>
      </c>
      <c r="N147">
        <f t="shared" si="45"/>
        <v>2021</v>
      </c>
      <c r="O147" s="8">
        <f t="shared" si="46"/>
        <v>983454.701369863</v>
      </c>
      <c r="P147" s="9">
        <f t="shared" si="47"/>
        <v>17653.817999999999</v>
      </c>
      <c r="Q147" s="5">
        <f t="shared" si="48"/>
        <v>17653.817999999999</v>
      </c>
      <c r="R147" s="5">
        <f t="shared" si="49"/>
        <v>4413.4544999999998</v>
      </c>
      <c r="S147" s="8">
        <f t="shared" si="42"/>
        <v>5.7253725210738216</v>
      </c>
      <c r="T147" s="7">
        <f t="shared" si="43"/>
        <v>6.1944681892534548E-2</v>
      </c>
    </row>
    <row r="148" spans="1:20" hidden="1" x14ac:dyDescent="0.25">
      <c r="A148" t="str">
        <f t="shared" si="31"/>
        <v>43555CCE</v>
      </c>
      <c r="B148" t="str">
        <f t="shared" si="32"/>
        <v>43555Minerva</v>
      </c>
      <c r="C148" s="4">
        <v>43555</v>
      </c>
      <c r="D148" t="s">
        <v>20</v>
      </c>
      <c r="E148" t="s">
        <v>28</v>
      </c>
      <c r="F148" t="s">
        <v>38</v>
      </c>
      <c r="G148" t="s">
        <v>34</v>
      </c>
      <c r="H148" s="5">
        <v>402994</v>
      </c>
      <c r="I148" s="4">
        <v>43983</v>
      </c>
      <c r="J148" t="s">
        <v>30</v>
      </c>
      <c r="K148" s="10">
        <v>6.5000000000000002E-2</v>
      </c>
      <c r="L148" s="10">
        <v>6.5000000000000002E-2</v>
      </c>
      <c r="M148" s="8">
        <f t="shared" si="44"/>
        <v>1.1726027397260275</v>
      </c>
      <c r="N148">
        <f t="shared" si="45"/>
        <v>2020</v>
      </c>
      <c r="O148" s="8">
        <f t="shared" si="46"/>
        <v>472551.86849315069</v>
      </c>
      <c r="P148" s="9">
        <f t="shared" si="47"/>
        <v>26194.61</v>
      </c>
      <c r="Q148" s="5">
        <f t="shared" si="48"/>
        <v>26194.61</v>
      </c>
      <c r="R148" s="5">
        <f t="shared" si="49"/>
        <v>6548.6525000000001</v>
      </c>
      <c r="S148" s="8">
        <f t="shared" si="42"/>
        <v>5.7253725210738216</v>
      </c>
      <c r="T148" s="7">
        <f t="shared" si="43"/>
        <v>6.1944681892534548E-2</v>
      </c>
    </row>
    <row r="149" spans="1:20" hidden="1" x14ac:dyDescent="0.25">
      <c r="A149" t="str">
        <f t="shared" si="31"/>
        <v>43555Outros</v>
      </c>
      <c r="B149" t="str">
        <f t="shared" si="32"/>
        <v>43555Minerva</v>
      </c>
      <c r="C149" s="4">
        <v>43555</v>
      </c>
      <c r="D149" t="s">
        <v>20</v>
      </c>
      <c r="E149" t="s">
        <v>28</v>
      </c>
      <c r="F149" t="s">
        <v>28</v>
      </c>
      <c r="G149" t="s">
        <v>34</v>
      </c>
      <c r="H149" s="5">
        <v>352076</v>
      </c>
      <c r="I149" s="4">
        <v>43983</v>
      </c>
      <c r="J149" t="s">
        <v>30</v>
      </c>
      <c r="K149" s="10">
        <v>6.5000000000000002E-2</v>
      </c>
      <c r="L149" s="10">
        <v>6.5000000000000002E-2</v>
      </c>
      <c r="M149" s="8">
        <f t="shared" si="44"/>
        <v>1.1726027397260275</v>
      </c>
      <c r="N149">
        <f t="shared" si="45"/>
        <v>2020</v>
      </c>
      <c r="O149" s="8">
        <f t="shared" si="46"/>
        <v>412845.28219178086</v>
      </c>
      <c r="P149" s="9">
        <f t="shared" si="47"/>
        <v>22884.940000000002</v>
      </c>
      <c r="Q149" s="5">
        <f t="shared" si="48"/>
        <v>22884.940000000002</v>
      </c>
      <c r="R149" s="5">
        <f t="shared" si="49"/>
        <v>5721.2350000000006</v>
      </c>
      <c r="S149" s="8">
        <f t="shared" si="42"/>
        <v>5.7253725210738216</v>
      </c>
      <c r="T149" s="7">
        <f t="shared" si="43"/>
        <v>6.1944681892534548E-2</v>
      </c>
    </row>
    <row r="150" spans="1:20" hidden="1" x14ac:dyDescent="0.25">
      <c r="A150" t="str">
        <f t="shared" si="31"/>
        <v>43555Derivativos</v>
      </c>
      <c r="B150" t="str">
        <f t="shared" si="32"/>
        <v>43555Minerva</v>
      </c>
      <c r="C150" s="4">
        <v>43555</v>
      </c>
      <c r="D150" t="s">
        <v>20</v>
      </c>
      <c r="E150" t="s">
        <v>28</v>
      </c>
      <c r="F150" t="s">
        <v>40</v>
      </c>
      <c r="G150" t="s">
        <v>23</v>
      </c>
      <c r="H150" s="5">
        <v>-8624</v>
      </c>
      <c r="I150" s="4">
        <v>43983</v>
      </c>
      <c r="J150" t="s">
        <v>30</v>
      </c>
      <c r="K150" s="10">
        <v>6.5000000000000002E-2</v>
      </c>
      <c r="L150" s="10">
        <v>6.5000000000000002E-2</v>
      </c>
      <c r="M150" s="8">
        <f t="shared" si="44"/>
        <v>1.1726027397260275</v>
      </c>
      <c r="N150">
        <f t="shared" si="45"/>
        <v>2020</v>
      </c>
      <c r="O150" s="8">
        <f t="shared" si="46"/>
        <v>-10112.526027397262</v>
      </c>
      <c r="P150" s="9">
        <f t="shared" si="47"/>
        <v>-560.56000000000006</v>
      </c>
      <c r="Q150" s="5">
        <f t="shared" si="48"/>
        <v>-560.56000000000006</v>
      </c>
      <c r="R150" s="5">
        <f t="shared" si="49"/>
        <v>-140.14000000000001</v>
      </c>
      <c r="S150" s="8">
        <f t="shared" si="42"/>
        <v>5.7253725210738216</v>
      </c>
      <c r="T150" s="7">
        <f t="shared" si="43"/>
        <v>6.1944681892534548E-2</v>
      </c>
    </row>
    <row r="151" spans="1:20" hidden="1" x14ac:dyDescent="0.25">
      <c r="A151" t="str">
        <f t="shared" si="31"/>
        <v>43555Derivativos</v>
      </c>
      <c r="B151" t="str">
        <f t="shared" si="32"/>
        <v>43555Minerva</v>
      </c>
      <c r="C151" s="4">
        <v>43555</v>
      </c>
      <c r="D151" t="s">
        <v>20</v>
      </c>
      <c r="E151" t="s">
        <v>28</v>
      </c>
      <c r="F151" t="s">
        <v>40</v>
      </c>
      <c r="G151" t="s">
        <v>23</v>
      </c>
      <c r="H151" s="5">
        <v>-533379</v>
      </c>
      <c r="I151" s="4">
        <v>43983</v>
      </c>
      <c r="J151" t="s">
        <v>30</v>
      </c>
      <c r="K151" s="10">
        <v>6.5000000000000002E-2</v>
      </c>
      <c r="L151" s="10">
        <v>6.5000000000000002E-2</v>
      </c>
      <c r="M151" s="8">
        <f t="shared" si="44"/>
        <v>1.1726027397260275</v>
      </c>
      <c r="N151">
        <f t="shared" si="45"/>
        <v>2020</v>
      </c>
      <c r="O151" s="8">
        <f t="shared" si="46"/>
        <v>-625441.6767123288</v>
      </c>
      <c r="P151" s="9">
        <f t="shared" si="47"/>
        <v>-34669.635000000002</v>
      </c>
      <c r="Q151" s="5">
        <f t="shared" si="48"/>
        <v>-34669.635000000002</v>
      </c>
      <c r="R151" s="5">
        <f t="shared" si="49"/>
        <v>-8667.4087500000005</v>
      </c>
      <c r="S151" s="8">
        <f t="shared" si="42"/>
        <v>5.7253725210738216</v>
      </c>
      <c r="T151" s="7">
        <f t="shared" si="43"/>
        <v>6.1944681892534548E-2</v>
      </c>
    </row>
    <row r="152" spans="1:20" hidden="1" x14ac:dyDescent="0.25">
      <c r="A152" t="str">
        <f t="shared" si="31"/>
        <v/>
      </c>
      <c r="B152" t="str">
        <f t="shared" si="32"/>
        <v/>
      </c>
      <c r="H152" s="5"/>
      <c r="L152" s="7"/>
      <c r="S152" s="11"/>
      <c r="T152" s="11"/>
    </row>
    <row r="153" spans="1:20" hidden="1" x14ac:dyDescent="0.25">
      <c r="A153" t="str">
        <f t="shared" si="31"/>
        <v>43465Debênture 2020</v>
      </c>
      <c r="B153" t="str">
        <f t="shared" si="32"/>
        <v>43465Minerva</v>
      </c>
      <c r="C153" s="4">
        <v>43465</v>
      </c>
      <c r="D153" t="s">
        <v>20</v>
      </c>
      <c r="E153" t="s">
        <v>21</v>
      </c>
      <c r="F153" t="s">
        <v>22</v>
      </c>
      <c r="G153" t="s">
        <v>23</v>
      </c>
      <c r="H153" s="5">
        <v>352002</v>
      </c>
      <c r="I153" s="4">
        <v>44106</v>
      </c>
      <c r="J153" t="s">
        <v>24</v>
      </c>
      <c r="K153" s="12">
        <v>1.0549999999999999</v>
      </c>
      <c r="L153" s="7">
        <f>(((1+4.4%)^(1/252)-1)*K153+1)^(252)-1</f>
        <v>4.6475182575541618E-2</v>
      </c>
      <c r="M153" s="8">
        <f>(I153-C153)/365</f>
        <v>1.7561643835616438</v>
      </c>
      <c r="N153">
        <f>YEAR(I153)</f>
        <v>2020</v>
      </c>
      <c r="O153" s="8">
        <f>M153*H153</f>
        <v>618173.3753424657</v>
      </c>
      <c r="P153" s="9">
        <f>L153*H153</f>
        <v>16359.357216955801</v>
      </c>
      <c r="Q153" s="5">
        <f>H153*L153</f>
        <v>16359.357216955801</v>
      </c>
      <c r="R153" s="5">
        <f>Q153/4</f>
        <v>4089.8393042389503</v>
      </c>
      <c r="S153" s="8">
        <f t="shared" ref="S153:S172" si="51">SUMIFS($O:$O,$C:$C,$C153,$D:$D,D153)/SUMIFS($H:$H,$C:$C,$C153,$D:$D,D153)</f>
        <v>5.7313257870945602</v>
      </c>
      <c r="T153" s="7">
        <f t="shared" ref="T153:T172" si="52">SUMIFS($P:$P,$C:$C,$C153,$D:$D,D153)/SUMIFS($H:$H,$C:$C,$C153,$D:$D,D153)</f>
        <v>6.1741188495247859E-2</v>
      </c>
    </row>
    <row r="154" spans="1:20" hidden="1" x14ac:dyDescent="0.25">
      <c r="A154" t="str">
        <f t="shared" si="31"/>
        <v>43465Arrendamento</v>
      </c>
      <c r="B154" t="str">
        <f t="shared" si="32"/>
        <v>43465Minerva</v>
      </c>
      <c r="C154" s="4">
        <v>43465</v>
      </c>
      <c r="D154" t="s">
        <v>20</v>
      </c>
      <c r="E154" t="s">
        <v>28</v>
      </c>
      <c r="F154" t="s">
        <v>43</v>
      </c>
      <c r="G154" t="s">
        <v>23</v>
      </c>
      <c r="H154" s="5">
        <v>18</v>
      </c>
      <c r="I154" s="4">
        <v>43496</v>
      </c>
      <c r="J154" t="s">
        <v>44</v>
      </c>
      <c r="K154" s="10">
        <v>3.5000000000000003E-2</v>
      </c>
      <c r="L154" s="7">
        <v>9.5000000000000001E-2</v>
      </c>
      <c r="M154" s="8">
        <f>(I154-C154)/365</f>
        <v>8.4931506849315067E-2</v>
      </c>
      <c r="N154">
        <f>YEAR(I154)</f>
        <v>2019</v>
      </c>
      <c r="O154" s="8">
        <f>M154*H154</f>
        <v>1.5287671232876712</v>
      </c>
      <c r="P154" s="9">
        <f>L154*H154</f>
        <v>1.71</v>
      </c>
      <c r="Q154" s="5">
        <f>H154*L154</f>
        <v>1.71</v>
      </c>
      <c r="R154" s="5">
        <f>Q154/4</f>
        <v>0.42749999999999999</v>
      </c>
      <c r="S154" s="8">
        <f t="shared" si="51"/>
        <v>5.7313257870945602</v>
      </c>
      <c r="T154" s="7">
        <f t="shared" si="52"/>
        <v>6.1741188495247859E-2</v>
      </c>
    </row>
    <row r="155" spans="1:20" hidden="1" x14ac:dyDescent="0.25">
      <c r="A155" t="str">
        <f t="shared" si="31"/>
        <v>43465CCB</v>
      </c>
      <c r="B155" t="str">
        <f t="shared" si="32"/>
        <v>43465Minerva</v>
      </c>
      <c r="C155" s="4">
        <v>43465</v>
      </c>
      <c r="D155" t="s">
        <v>20</v>
      </c>
      <c r="E155" t="s">
        <v>28</v>
      </c>
      <c r="F155" t="s">
        <v>29</v>
      </c>
      <c r="G155" t="s">
        <v>23</v>
      </c>
      <c r="H155" s="5">
        <v>21095</v>
      </c>
      <c r="I155" s="4">
        <v>43983</v>
      </c>
      <c r="J155" t="s">
        <v>30</v>
      </c>
      <c r="K155" s="10">
        <v>7.6499999999999999E-2</v>
      </c>
      <c r="L155" s="10">
        <v>7.6499999999999999E-2</v>
      </c>
      <c r="M155" s="8">
        <f t="shared" ref="M155:M172" si="53">(I155-C155)/365</f>
        <v>1.4191780821917808</v>
      </c>
      <c r="N155">
        <f t="shared" ref="N155:N172" si="54">YEAR(I155)</f>
        <v>2020</v>
      </c>
      <c r="O155" s="8">
        <f t="shared" ref="O155:O172" si="55">M155*H155</f>
        <v>29937.561643835616</v>
      </c>
      <c r="P155" s="9">
        <f t="shared" ref="P155:P172" si="56">L155*H155</f>
        <v>1613.7674999999999</v>
      </c>
      <c r="Q155" s="5">
        <f t="shared" ref="Q155:Q172" si="57">H155*L155</f>
        <v>1613.7674999999999</v>
      </c>
      <c r="R155" s="5">
        <f t="shared" ref="R155:R172" si="58">Q155/4</f>
        <v>403.44187499999998</v>
      </c>
      <c r="S155" s="8">
        <f t="shared" si="51"/>
        <v>5.7313257870945602</v>
      </c>
      <c r="T155" s="7">
        <f t="shared" si="52"/>
        <v>6.1741188495247859E-2</v>
      </c>
    </row>
    <row r="156" spans="1:20" hidden="1" x14ac:dyDescent="0.25">
      <c r="A156" t="str">
        <f t="shared" si="31"/>
        <v>43465NCE</v>
      </c>
      <c r="B156" t="str">
        <f t="shared" si="32"/>
        <v>43465Minerva</v>
      </c>
      <c r="C156" s="4">
        <v>43465</v>
      </c>
      <c r="D156" t="s">
        <v>20</v>
      </c>
      <c r="E156" t="s">
        <v>31</v>
      </c>
      <c r="F156" t="s">
        <v>31</v>
      </c>
      <c r="G156" t="s">
        <v>23</v>
      </c>
      <c r="H156" s="5">
        <v>215398</v>
      </c>
      <c r="I156" s="4">
        <v>43983</v>
      </c>
      <c r="J156" t="s">
        <v>24</v>
      </c>
      <c r="K156" s="10">
        <v>0.03</v>
      </c>
      <c r="L156" s="7">
        <f t="shared" ref="L156:L157" si="59">(1+3%)*(1+K156)-1</f>
        <v>6.0899999999999954E-2</v>
      </c>
      <c r="M156" s="8">
        <f t="shared" si="53"/>
        <v>1.4191780821917808</v>
      </c>
      <c r="N156">
        <f t="shared" si="54"/>
        <v>2020</v>
      </c>
      <c r="O156" s="8">
        <f t="shared" si="55"/>
        <v>305688.1205479452</v>
      </c>
      <c r="P156" s="9">
        <f t="shared" si="56"/>
        <v>13117.738199999991</v>
      </c>
      <c r="Q156" s="5">
        <f t="shared" si="57"/>
        <v>13117.738199999991</v>
      </c>
      <c r="R156" s="5">
        <f t="shared" si="58"/>
        <v>3279.4345499999977</v>
      </c>
      <c r="S156" s="8">
        <f t="shared" si="51"/>
        <v>5.7313257870945602</v>
      </c>
      <c r="T156" s="7">
        <f t="shared" si="52"/>
        <v>6.1741188495247859E-2</v>
      </c>
    </row>
    <row r="157" spans="1:20" hidden="1" x14ac:dyDescent="0.25">
      <c r="A157" t="str">
        <f t="shared" si="31"/>
        <v>43465NCE</v>
      </c>
      <c r="B157" t="str">
        <f t="shared" si="32"/>
        <v>43465Minerva</v>
      </c>
      <c r="C157" s="4">
        <v>43465</v>
      </c>
      <c r="D157" t="s">
        <v>20</v>
      </c>
      <c r="E157" t="s">
        <v>31</v>
      </c>
      <c r="F157" t="s">
        <v>31</v>
      </c>
      <c r="G157" t="s">
        <v>23</v>
      </c>
      <c r="H157" s="5">
        <v>815726</v>
      </c>
      <c r="I157" s="4">
        <v>43983</v>
      </c>
      <c r="J157" t="s">
        <v>42</v>
      </c>
      <c r="K157" s="10">
        <v>0.03</v>
      </c>
      <c r="L157" s="7">
        <f t="shared" si="59"/>
        <v>6.0899999999999954E-2</v>
      </c>
      <c r="M157" s="8">
        <f t="shared" si="53"/>
        <v>1.4191780821917808</v>
      </c>
      <c r="N157">
        <f t="shared" si="54"/>
        <v>2020</v>
      </c>
      <c r="O157" s="8">
        <f t="shared" si="55"/>
        <v>1157660.4602739725</v>
      </c>
      <c r="P157" s="9">
        <f t="shared" si="56"/>
        <v>49677.713399999964</v>
      </c>
      <c r="Q157" s="5">
        <f t="shared" si="57"/>
        <v>49677.713399999964</v>
      </c>
      <c r="R157" s="5">
        <f t="shared" si="58"/>
        <v>12419.428349999991</v>
      </c>
      <c r="S157" s="8">
        <f t="shared" si="51"/>
        <v>5.7313257870945602</v>
      </c>
      <c r="T157" s="7">
        <f t="shared" si="52"/>
        <v>6.1741188495247859E-2</v>
      </c>
    </row>
    <row r="158" spans="1:20" hidden="1" x14ac:dyDescent="0.25">
      <c r="A158" t="str">
        <f t="shared" si="31"/>
        <v>43465IFC</v>
      </c>
      <c r="B158" t="str">
        <f t="shared" si="32"/>
        <v>43465Minerva</v>
      </c>
      <c r="C158" s="4">
        <v>43465</v>
      </c>
      <c r="D158" t="s">
        <v>20</v>
      </c>
      <c r="E158" t="s">
        <v>28</v>
      </c>
      <c r="F158" t="s">
        <v>32</v>
      </c>
      <c r="G158" t="s">
        <v>23</v>
      </c>
      <c r="H158" s="5">
        <v>24460</v>
      </c>
      <c r="I158" s="4">
        <v>43570</v>
      </c>
      <c r="J158" t="s">
        <v>24</v>
      </c>
      <c r="K158" s="10">
        <v>2.35E-2</v>
      </c>
      <c r="L158" s="7">
        <f>(1+3%)*(1+K158)-1</f>
        <v>5.4205000000000059E-2</v>
      </c>
      <c r="M158" s="8">
        <f t="shared" si="53"/>
        <v>0.28767123287671231</v>
      </c>
      <c r="N158">
        <f t="shared" si="54"/>
        <v>2019</v>
      </c>
      <c r="O158" s="8">
        <f t="shared" si="55"/>
        <v>7036.4383561643835</v>
      </c>
      <c r="P158" s="9">
        <f t="shared" si="56"/>
        <v>1325.8543000000013</v>
      </c>
      <c r="Q158" s="5">
        <f t="shared" si="57"/>
        <v>1325.8543000000013</v>
      </c>
      <c r="R158" s="5">
        <f t="shared" si="58"/>
        <v>331.46357500000033</v>
      </c>
      <c r="S158" s="8">
        <f t="shared" si="51"/>
        <v>5.7313257870945602</v>
      </c>
      <c r="T158" s="7">
        <f t="shared" si="52"/>
        <v>6.1741188495247859E-2</v>
      </c>
    </row>
    <row r="159" spans="1:20" hidden="1" x14ac:dyDescent="0.25">
      <c r="A159" t="str">
        <f t="shared" si="31"/>
        <v>43465IFC</v>
      </c>
      <c r="B159" t="str">
        <f t="shared" si="32"/>
        <v>43465Minerva</v>
      </c>
      <c r="C159" s="4">
        <v>43465</v>
      </c>
      <c r="D159" t="s">
        <v>20</v>
      </c>
      <c r="E159" t="s">
        <v>28</v>
      </c>
      <c r="F159" t="s">
        <v>32</v>
      </c>
      <c r="G159" t="s">
        <v>23</v>
      </c>
      <c r="H159" s="5">
        <f>8607--2797</f>
        <v>11404</v>
      </c>
      <c r="I159" s="4">
        <v>43936</v>
      </c>
      <c r="J159" t="s">
        <v>24</v>
      </c>
      <c r="K159" s="10">
        <v>2.35E-2</v>
      </c>
      <c r="L159" s="7">
        <f>(1+3%)*(1+K159)-1</f>
        <v>5.4205000000000059E-2</v>
      </c>
      <c r="M159" s="8">
        <f t="shared" si="53"/>
        <v>1.2904109589041095</v>
      </c>
      <c r="N159">
        <f t="shared" si="54"/>
        <v>2020</v>
      </c>
      <c r="O159" s="8">
        <f t="shared" si="55"/>
        <v>14715.846575342464</v>
      </c>
      <c r="P159" s="9">
        <f t="shared" si="56"/>
        <v>618.15382000000068</v>
      </c>
      <c r="Q159" s="5">
        <f t="shared" si="57"/>
        <v>618.15382000000068</v>
      </c>
      <c r="R159" s="5">
        <f t="shared" si="58"/>
        <v>154.53845500000017</v>
      </c>
      <c r="S159" s="8">
        <f t="shared" si="51"/>
        <v>5.7313257870945602</v>
      </c>
      <c r="T159" s="7">
        <f t="shared" si="52"/>
        <v>6.1741188495247859E-2</v>
      </c>
    </row>
    <row r="160" spans="1:20" hidden="1" x14ac:dyDescent="0.25">
      <c r="A160" t="str">
        <f t="shared" si="31"/>
        <v>43465IFC</v>
      </c>
      <c r="B160" t="str">
        <f t="shared" si="32"/>
        <v>43465Minerva</v>
      </c>
      <c r="C160" s="4">
        <v>43465</v>
      </c>
      <c r="D160" t="s">
        <v>20</v>
      </c>
      <c r="E160" t="s">
        <v>28</v>
      </c>
      <c r="F160" t="s">
        <v>32</v>
      </c>
      <c r="G160" t="s">
        <v>23</v>
      </c>
      <c r="H160" s="5">
        <v>17215</v>
      </c>
      <c r="I160" s="4">
        <v>44301</v>
      </c>
      <c r="J160" t="s">
        <v>24</v>
      </c>
      <c r="K160" s="10">
        <v>2.35E-2</v>
      </c>
      <c r="L160" s="7">
        <f>(1+3%)*(1+K160)-1</f>
        <v>5.4205000000000059E-2</v>
      </c>
      <c r="M160" s="8">
        <f t="shared" si="53"/>
        <v>2.2904109589041095</v>
      </c>
      <c r="N160">
        <f t="shared" si="54"/>
        <v>2021</v>
      </c>
      <c r="O160" s="8">
        <f t="shared" si="55"/>
        <v>39429.424657534248</v>
      </c>
      <c r="P160" s="9">
        <f t="shared" si="56"/>
        <v>933.13907500000096</v>
      </c>
      <c r="Q160" s="5">
        <f t="shared" si="57"/>
        <v>933.13907500000096</v>
      </c>
      <c r="R160" s="5">
        <f t="shared" si="58"/>
        <v>233.28476875000024</v>
      </c>
      <c r="S160" s="8">
        <f t="shared" si="51"/>
        <v>5.7313257870945602</v>
      </c>
      <c r="T160" s="7">
        <f t="shared" si="52"/>
        <v>6.1741188495247859E-2</v>
      </c>
    </row>
    <row r="161" spans="1:20" hidden="1" x14ac:dyDescent="0.25">
      <c r="A161" t="str">
        <f t="shared" si="31"/>
        <v>43465IFC</v>
      </c>
      <c r="B161" t="str">
        <f t="shared" si="32"/>
        <v>43465Minerva</v>
      </c>
      <c r="C161" s="4">
        <v>43465</v>
      </c>
      <c r="D161" t="s">
        <v>20</v>
      </c>
      <c r="E161" t="s">
        <v>28</v>
      </c>
      <c r="F161" t="s">
        <v>32</v>
      </c>
      <c r="G161" t="s">
        <v>23</v>
      </c>
      <c r="H161" s="5">
        <v>17215</v>
      </c>
      <c r="I161" s="4">
        <v>44666</v>
      </c>
      <c r="J161" t="s">
        <v>24</v>
      </c>
      <c r="K161" s="10">
        <v>2.35E-2</v>
      </c>
      <c r="L161" s="7">
        <f>(1+3%)*(1+K161)-1</f>
        <v>5.4205000000000059E-2</v>
      </c>
      <c r="M161" s="8">
        <f t="shared" si="53"/>
        <v>3.2904109589041095</v>
      </c>
      <c r="N161">
        <f t="shared" si="54"/>
        <v>2022</v>
      </c>
      <c r="O161" s="8">
        <f t="shared" si="55"/>
        <v>56644.424657534248</v>
      </c>
      <c r="P161" s="9">
        <f t="shared" si="56"/>
        <v>933.13907500000096</v>
      </c>
      <c r="Q161" s="5">
        <f t="shared" si="57"/>
        <v>933.13907500000096</v>
      </c>
      <c r="R161" s="5">
        <f t="shared" si="58"/>
        <v>233.28476875000024</v>
      </c>
      <c r="S161" s="8">
        <f t="shared" si="51"/>
        <v>5.7313257870945602</v>
      </c>
      <c r="T161" s="7">
        <f t="shared" si="52"/>
        <v>6.1741188495247859E-2</v>
      </c>
    </row>
    <row r="162" spans="1:20" hidden="1" x14ac:dyDescent="0.25">
      <c r="A162" t="str">
        <f t="shared" ref="A162:A182" si="60">C162&amp;F162</f>
        <v>43465IFC</v>
      </c>
      <c r="B162" t="str">
        <f t="shared" ref="B162:B182" si="61">C162&amp;D162</f>
        <v>43465Minerva</v>
      </c>
      <c r="C162" s="4">
        <v>43465</v>
      </c>
      <c r="D162" t="s">
        <v>20</v>
      </c>
      <c r="E162" t="s">
        <v>28</v>
      </c>
      <c r="F162" t="s">
        <v>32</v>
      </c>
      <c r="G162" t="s">
        <v>23</v>
      </c>
      <c r="H162" s="5">
        <v>8607</v>
      </c>
      <c r="I162" s="4">
        <v>45031</v>
      </c>
      <c r="J162" t="s">
        <v>24</v>
      </c>
      <c r="K162" s="10">
        <v>2.35E-2</v>
      </c>
      <c r="L162" s="7">
        <f>(1+3%)*(1+K162)-1</f>
        <v>5.4205000000000059E-2</v>
      </c>
      <c r="M162" s="8">
        <f t="shared" si="53"/>
        <v>4.2904109589041095</v>
      </c>
      <c r="N162">
        <f t="shared" si="54"/>
        <v>2023</v>
      </c>
      <c r="O162" s="8">
        <f t="shared" si="55"/>
        <v>36927.56712328767</v>
      </c>
      <c r="P162" s="9">
        <f t="shared" si="56"/>
        <v>466.54243500000052</v>
      </c>
      <c r="Q162" s="5">
        <f t="shared" si="57"/>
        <v>466.54243500000052</v>
      </c>
      <c r="R162" s="5">
        <f t="shared" si="58"/>
        <v>116.63560875000013</v>
      </c>
      <c r="S162" s="8">
        <f t="shared" si="51"/>
        <v>5.7313257870945602</v>
      </c>
      <c r="T162" s="7">
        <f t="shared" si="52"/>
        <v>6.1741188495247859E-2</v>
      </c>
    </row>
    <row r="163" spans="1:20" hidden="1" x14ac:dyDescent="0.25">
      <c r="A163" t="str">
        <f t="shared" si="60"/>
        <v>43465ACC</v>
      </c>
      <c r="B163" t="str">
        <f t="shared" si="61"/>
        <v>43465Minerva</v>
      </c>
      <c r="C163" s="4">
        <v>43465</v>
      </c>
      <c r="D163" t="s">
        <v>20</v>
      </c>
      <c r="E163" t="s">
        <v>33</v>
      </c>
      <c r="F163" t="s">
        <v>33</v>
      </c>
      <c r="G163" t="s">
        <v>34</v>
      </c>
      <c r="H163" s="5">
        <v>1726670</v>
      </c>
      <c r="I163" s="4">
        <v>43830</v>
      </c>
      <c r="J163" t="s">
        <v>30</v>
      </c>
      <c r="K163" s="10">
        <v>6.5000000000000002E-2</v>
      </c>
      <c r="L163" s="10">
        <v>5.5E-2</v>
      </c>
      <c r="M163" s="8">
        <f t="shared" si="53"/>
        <v>1</v>
      </c>
      <c r="N163">
        <f t="shared" si="54"/>
        <v>2019</v>
      </c>
      <c r="O163" s="8">
        <f t="shared" si="55"/>
        <v>1726670</v>
      </c>
      <c r="P163" s="9">
        <f t="shared" si="56"/>
        <v>94966.85</v>
      </c>
      <c r="Q163" s="5">
        <f t="shared" si="57"/>
        <v>94966.85</v>
      </c>
      <c r="R163" s="5">
        <f t="shared" si="58"/>
        <v>23741.712500000001</v>
      </c>
      <c r="S163" s="8">
        <f t="shared" si="51"/>
        <v>5.7313257870945602</v>
      </c>
      <c r="T163" s="7">
        <f t="shared" si="52"/>
        <v>6.1741188495247859E-2</v>
      </c>
    </row>
    <row r="164" spans="1:20" hidden="1" x14ac:dyDescent="0.25">
      <c r="A164" t="str">
        <f t="shared" si="60"/>
        <v>43465NCE</v>
      </c>
      <c r="B164" t="str">
        <f t="shared" si="61"/>
        <v>43465Minerva</v>
      </c>
      <c r="C164" s="4">
        <v>43465</v>
      </c>
      <c r="D164" t="s">
        <v>20</v>
      </c>
      <c r="E164" t="s">
        <v>31</v>
      </c>
      <c r="F164" t="s">
        <v>31</v>
      </c>
      <c r="G164" t="s">
        <v>34</v>
      </c>
      <c r="H164" s="5">
        <v>295672</v>
      </c>
      <c r="I164" s="4">
        <v>43496</v>
      </c>
      <c r="J164" t="s">
        <v>30</v>
      </c>
      <c r="K164" s="10">
        <v>4.4200000000000003E-2</v>
      </c>
      <c r="L164" s="10">
        <v>4.4200000000000003E-2</v>
      </c>
      <c r="M164" s="8">
        <f t="shared" si="53"/>
        <v>8.4931506849315067E-2</v>
      </c>
      <c r="N164">
        <f t="shared" si="54"/>
        <v>2019</v>
      </c>
      <c r="O164" s="8">
        <f t="shared" si="55"/>
        <v>25111.868493150683</v>
      </c>
      <c r="P164" s="9">
        <f t="shared" si="56"/>
        <v>13068.7024</v>
      </c>
      <c r="Q164" s="5">
        <f t="shared" si="57"/>
        <v>13068.7024</v>
      </c>
      <c r="R164" s="5">
        <f t="shared" si="58"/>
        <v>3267.1756</v>
      </c>
      <c r="S164" s="8">
        <f t="shared" si="51"/>
        <v>5.7313257870945602</v>
      </c>
      <c r="T164" s="7">
        <f t="shared" si="52"/>
        <v>6.1741188495247859E-2</v>
      </c>
    </row>
    <row r="165" spans="1:20" hidden="1" x14ac:dyDescent="0.25">
      <c r="A165" t="str">
        <f t="shared" si="60"/>
        <v>43465Bond</v>
      </c>
      <c r="B165" t="str">
        <f t="shared" si="61"/>
        <v>43465Minerva</v>
      </c>
      <c r="C165" s="4">
        <v>43465</v>
      </c>
      <c r="D165" t="s">
        <v>20</v>
      </c>
      <c r="E165" t="s">
        <v>35</v>
      </c>
      <c r="F165" t="s">
        <v>35</v>
      </c>
      <c r="G165" t="s">
        <v>34</v>
      </c>
      <c r="H165" s="5">
        <v>4504704</v>
      </c>
      <c r="I165" s="4">
        <v>46285</v>
      </c>
      <c r="J165" t="s">
        <v>30</v>
      </c>
      <c r="K165" s="10">
        <v>6.5000000000000002E-2</v>
      </c>
      <c r="L165" s="10">
        <v>6.5000000000000002E-2</v>
      </c>
      <c r="M165" s="8">
        <f t="shared" si="53"/>
        <v>7.7260273972602738</v>
      </c>
      <c r="N165">
        <f t="shared" si="54"/>
        <v>2026</v>
      </c>
      <c r="O165" s="8">
        <f t="shared" si="55"/>
        <v>34803466.520547941</v>
      </c>
      <c r="P165" s="9">
        <f t="shared" si="56"/>
        <v>292805.76000000001</v>
      </c>
      <c r="Q165" s="5">
        <f t="shared" si="57"/>
        <v>292805.76000000001</v>
      </c>
      <c r="R165" s="5">
        <f t="shared" si="58"/>
        <v>73201.440000000002</v>
      </c>
      <c r="S165" s="8">
        <f t="shared" si="51"/>
        <v>5.7313257870945602</v>
      </c>
      <c r="T165" s="7">
        <f t="shared" si="52"/>
        <v>6.1741188495247859E-2</v>
      </c>
    </row>
    <row r="166" spans="1:20" hidden="1" x14ac:dyDescent="0.25">
      <c r="A166" t="str">
        <f t="shared" si="60"/>
        <v>43465Bond</v>
      </c>
      <c r="B166" t="str">
        <f t="shared" si="61"/>
        <v>43465Minerva</v>
      </c>
      <c r="C166" s="4">
        <v>43465</v>
      </c>
      <c r="D166" t="s">
        <v>20</v>
      </c>
      <c r="E166" t="s">
        <v>35</v>
      </c>
      <c r="F166" t="s">
        <v>35</v>
      </c>
      <c r="G166" t="s">
        <v>34</v>
      </c>
      <c r="H166" s="5">
        <v>1824374</v>
      </c>
      <c r="I166" s="4">
        <v>47016</v>
      </c>
      <c r="J166" t="s">
        <v>30</v>
      </c>
      <c r="K166" s="10">
        <v>5.8749999999999997E-2</v>
      </c>
      <c r="L166" s="10">
        <v>6.5000000000000002E-2</v>
      </c>
      <c r="M166" s="8">
        <f t="shared" si="53"/>
        <v>9.7287671232876711</v>
      </c>
      <c r="N166">
        <f t="shared" si="54"/>
        <v>2028</v>
      </c>
      <c r="O166" s="8">
        <f t="shared" si="55"/>
        <v>17748909.791780822</v>
      </c>
      <c r="P166" s="9">
        <f t="shared" si="56"/>
        <v>118584.31</v>
      </c>
      <c r="Q166" s="5">
        <f t="shared" si="57"/>
        <v>118584.31</v>
      </c>
      <c r="R166" s="5">
        <f t="shared" si="58"/>
        <v>29646.077499999999</v>
      </c>
      <c r="S166" s="8">
        <f t="shared" si="51"/>
        <v>5.7313257870945602</v>
      </c>
      <c r="T166" s="7">
        <f t="shared" si="52"/>
        <v>6.1741188495247859E-2</v>
      </c>
    </row>
    <row r="167" spans="1:20" hidden="1" x14ac:dyDescent="0.25">
      <c r="A167" t="str">
        <f t="shared" si="60"/>
        <v>43465Bond</v>
      </c>
      <c r="B167" t="str">
        <f t="shared" si="61"/>
        <v>43465Minerva</v>
      </c>
      <c r="C167" s="4">
        <v>43465</v>
      </c>
      <c r="D167" t="s">
        <v>20</v>
      </c>
      <c r="E167" t="s">
        <v>35</v>
      </c>
      <c r="F167" t="s">
        <v>35</v>
      </c>
      <c r="G167" t="s">
        <v>34</v>
      </c>
      <c r="H167" s="5">
        <v>277908</v>
      </c>
      <c r="I167" s="4">
        <v>47016</v>
      </c>
      <c r="J167" t="s">
        <v>30</v>
      </c>
      <c r="K167" s="10">
        <v>8.7499999999999994E-2</v>
      </c>
      <c r="L167" s="10">
        <v>8.7499999999999994E-2</v>
      </c>
      <c r="M167" s="8">
        <f t="shared" si="53"/>
        <v>9.7287671232876711</v>
      </c>
      <c r="N167">
        <f t="shared" si="54"/>
        <v>2028</v>
      </c>
      <c r="O167" s="8">
        <f t="shared" si="55"/>
        <v>2703702.2136986302</v>
      </c>
      <c r="P167" s="9">
        <f t="shared" si="56"/>
        <v>24316.949999999997</v>
      </c>
      <c r="Q167" s="5">
        <f t="shared" si="57"/>
        <v>24316.949999999997</v>
      </c>
      <c r="R167" s="5">
        <f t="shared" si="58"/>
        <v>6079.2374999999993</v>
      </c>
      <c r="S167" s="8">
        <f t="shared" si="51"/>
        <v>5.7313257870945602</v>
      </c>
      <c r="T167" s="7">
        <f t="shared" si="52"/>
        <v>6.1741188495247859E-2</v>
      </c>
    </row>
    <row r="168" spans="1:20" hidden="1" x14ac:dyDescent="0.25">
      <c r="A168" t="str">
        <f t="shared" si="60"/>
        <v>43465PPE</v>
      </c>
      <c r="B168" t="str">
        <f t="shared" si="61"/>
        <v>43465Minerva</v>
      </c>
      <c r="C168" s="4">
        <v>43465</v>
      </c>
      <c r="D168" t="s">
        <v>20</v>
      </c>
      <c r="E168" t="s">
        <v>36</v>
      </c>
      <c r="F168" t="s">
        <v>36</v>
      </c>
      <c r="G168" t="s">
        <v>34</v>
      </c>
      <c r="H168" s="5">
        <v>215043</v>
      </c>
      <c r="I168" s="4">
        <v>44348</v>
      </c>
      <c r="J168" t="s">
        <v>37</v>
      </c>
      <c r="K168" s="12">
        <v>0.02</v>
      </c>
      <c r="L168" s="7">
        <v>3.9E-2</v>
      </c>
      <c r="M168" s="8">
        <f t="shared" si="53"/>
        <v>2.419178082191781</v>
      </c>
      <c r="N168">
        <f t="shared" si="54"/>
        <v>2021</v>
      </c>
      <c r="O168" s="8">
        <f t="shared" si="55"/>
        <v>520227.31232876715</v>
      </c>
      <c r="P168" s="9">
        <f t="shared" si="56"/>
        <v>8386.6769999999997</v>
      </c>
      <c r="Q168" s="5">
        <f t="shared" si="57"/>
        <v>8386.6769999999997</v>
      </c>
      <c r="R168" s="5">
        <f t="shared" si="58"/>
        <v>2096.6692499999999</v>
      </c>
      <c r="S168" s="8">
        <f t="shared" si="51"/>
        <v>5.7313257870945602</v>
      </c>
      <c r="T168" s="7">
        <f t="shared" si="52"/>
        <v>6.1741188495247859E-2</v>
      </c>
    </row>
    <row r="169" spans="1:20" hidden="1" x14ac:dyDescent="0.25">
      <c r="A169" t="str">
        <f t="shared" si="60"/>
        <v>43465CCE</v>
      </c>
      <c r="B169" t="str">
        <f t="shared" si="61"/>
        <v>43465Minerva</v>
      </c>
      <c r="C169" s="4">
        <v>43465</v>
      </c>
      <c r="D169" t="s">
        <v>20</v>
      </c>
      <c r="E169" t="s">
        <v>28</v>
      </c>
      <c r="F169" t="s">
        <v>38</v>
      </c>
      <c r="G169" t="s">
        <v>34</v>
      </c>
      <c r="H169" s="5">
        <v>413551</v>
      </c>
      <c r="I169" s="4">
        <v>43983</v>
      </c>
      <c r="J169" t="s">
        <v>30</v>
      </c>
      <c r="K169" s="10">
        <v>6.5000000000000002E-2</v>
      </c>
      <c r="L169" s="10">
        <v>6.5000000000000002E-2</v>
      </c>
      <c r="M169" s="8">
        <f t="shared" si="53"/>
        <v>1.4191780821917808</v>
      </c>
      <c r="N169">
        <f t="shared" si="54"/>
        <v>2020</v>
      </c>
      <c r="O169" s="8">
        <f t="shared" si="55"/>
        <v>586902.51506849308</v>
      </c>
      <c r="P169" s="9">
        <f t="shared" si="56"/>
        <v>26880.815000000002</v>
      </c>
      <c r="Q169" s="5">
        <f t="shared" si="57"/>
        <v>26880.815000000002</v>
      </c>
      <c r="R169" s="5">
        <f t="shared" si="58"/>
        <v>6720.2037500000006</v>
      </c>
      <c r="S169" s="8">
        <f t="shared" si="51"/>
        <v>5.7313257870945602</v>
      </c>
      <c r="T169" s="7">
        <f t="shared" si="52"/>
        <v>6.1741188495247859E-2</v>
      </c>
    </row>
    <row r="170" spans="1:20" hidden="1" x14ac:dyDescent="0.25">
      <c r="A170" t="str">
        <f t="shared" si="60"/>
        <v>43465Outros</v>
      </c>
      <c r="B170" t="str">
        <f t="shared" si="61"/>
        <v>43465Minerva</v>
      </c>
      <c r="C170" s="4">
        <v>43465</v>
      </c>
      <c r="D170" t="s">
        <v>20</v>
      </c>
      <c r="E170" t="s">
        <v>28</v>
      </c>
      <c r="F170" t="s">
        <v>28</v>
      </c>
      <c r="G170" t="s">
        <v>34</v>
      </c>
      <c r="H170" s="5">
        <v>354205</v>
      </c>
      <c r="I170" s="4">
        <v>43983</v>
      </c>
      <c r="J170" t="s">
        <v>30</v>
      </c>
      <c r="K170" s="10">
        <v>6.5000000000000002E-2</v>
      </c>
      <c r="L170" s="10">
        <v>6.5000000000000002E-2</v>
      </c>
      <c r="M170" s="8">
        <f t="shared" si="53"/>
        <v>1.4191780821917808</v>
      </c>
      <c r="N170">
        <f t="shared" si="54"/>
        <v>2020</v>
      </c>
      <c r="O170" s="8">
        <f t="shared" si="55"/>
        <v>502679.9726027397</v>
      </c>
      <c r="P170" s="9">
        <f t="shared" si="56"/>
        <v>23023.325000000001</v>
      </c>
      <c r="Q170" s="5">
        <f t="shared" si="57"/>
        <v>23023.325000000001</v>
      </c>
      <c r="R170" s="5">
        <f t="shared" si="58"/>
        <v>5755.8312500000002</v>
      </c>
      <c r="S170" s="8">
        <f t="shared" si="51"/>
        <v>5.7313257870945602</v>
      </c>
      <c r="T170" s="7">
        <f t="shared" si="52"/>
        <v>6.1741188495247859E-2</v>
      </c>
    </row>
    <row r="171" spans="1:20" hidden="1" x14ac:dyDescent="0.25">
      <c r="A171" t="str">
        <f t="shared" si="60"/>
        <v>43465Derivativos</v>
      </c>
      <c r="B171" t="str">
        <f t="shared" si="61"/>
        <v>43465Minerva</v>
      </c>
      <c r="C171" s="4">
        <v>43465</v>
      </c>
      <c r="D171" t="s">
        <v>20</v>
      </c>
      <c r="E171" t="s">
        <v>28</v>
      </c>
      <c r="F171" t="s">
        <v>40</v>
      </c>
      <c r="G171" t="s">
        <v>23</v>
      </c>
      <c r="H171" s="5">
        <v>-2114</v>
      </c>
      <c r="I171" s="4">
        <v>43983</v>
      </c>
      <c r="J171" t="s">
        <v>30</v>
      </c>
      <c r="K171" s="10">
        <v>6.5000000000000002E-2</v>
      </c>
      <c r="L171" s="10">
        <v>6.5000000000000002E-2</v>
      </c>
      <c r="M171" s="8">
        <f t="shared" si="53"/>
        <v>1.4191780821917808</v>
      </c>
      <c r="N171">
        <f t="shared" si="54"/>
        <v>2020</v>
      </c>
      <c r="O171" s="8">
        <f t="shared" si="55"/>
        <v>-3000.1424657534244</v>
      </c>
      <c r="P171" s="9">
        <f t="shared" si="56"/>
        <v>-137.41</v>
      </c>
      <c r="Q171" s="5">
        <f t="shared" si="57"/>
        <v>-137.41</v>
      </c>
      <c r="R171" s="5">
        <f t="shared" si="58"/>
        <v>-34.352499999999999</v>
      </c>
      <c r="S171" s="8">
        <f t="shared" si="51"/>
        <v>5.7313257870945602</v>
      </c>
      <c r="T171" s="7">
        <f t="shared" si="52"/>
        <v>6.1741188495247859E-2</v>
      </c>
    </row>
    <row r="172" spans="1:20" hidden="1" x14ac:dyDescent="0.25">
      <c r="A172" t="str">
        <f t="shared" si="60"/>
        <v>43465Derivativos</v>
      </c>
      <c r="B172" t="str">
        <f t="shared" si="61"/>
        <v>43465Minerva</v>
      </c>
      <c r="C172" s="4">
        <v>43465</v>
      </c>
      <c r="D172" t="s">
        <v>20</v>
      </c>
      <c r="E172" t="s">
        <v>28</v>
      </c>
      <c r="F172" t="s">
        <v>40</v>
      </c>
      <c r="G172" t="s">
        <v>23</v>
      </c>
      <c r="H172" s="5">
        <v>-625579</v>
      </c>
      <c r="I172" s="4">
        <v>43983</v>
      </c>
      <c r="J172" t="s">
        <v>30</v>
      </c>
      <c r="K172" s="10">
        <v>6.5000000000000002E-2</v>
      </c>
      <c r="L172" s="10">
        <v>6.5000000000000002E-2</v>
      </c>
      <c r="M172" s="8">
        <f t="shared" si="53"/>
        <v>1.4191780821917808</v>
      </c>
      <c r="N172">
        <f t="shared" si="54"/>
        <v>2020</v>
      </c>
      <c r="O172" s="8">
        <f t="shared" si="55"/>
        <v>-887808.00547945197</v>
      </c>
      <c r="P172" s="9">
        <f t="shared" si="56"/>
        <v>-40662.635000000002</v>
      </c>
      <c r="Q172" s="5">
        <f t="shared" si="57"/>
        <v>-40662.635000000002</v>
      </c>
      <c r="R172" s="5">
        <f t="shared" si="58"/>
        <v>-10165.658750000001</v>
      </c>
      <c r="S172" s="8">
        <f t="shared" si="51"/>
        <v>5.7313257870945602</v>
      </c>
      <c r="T172" s="7">
        <f t="shared" si="52"/>
        <v>6.1741188495247859E-2</v>
      </c>
    </row>
    <row r="173" spans="1:20" hidden="1" x14ac:dyDescent="0.25">
      <c r="A173" t="str">
        <f t="shared" si="60"/>
        <v/>
      </c>
      <c r="B173" t="str">
        <f t="shared" si="61"/>
        <v/>
      </c>
      <c r="H173" s="5"/>
      <c r="L173" s="7"/>
      <c r="T173" s="7"/>
    </row>
    <row r="174" spans="1:20" hidden="1" x14ac:dyDescent="0.25">
      <c r="A174" t="str">
        <f t="shared" si="60"/>
        <v>43920KG</v>
      </c>
      <c r="B174" t="str">
        <f t="shared" si="61"/>
        <v>43920BRF</v>
      </c>
      <c r="C174" s="4">
        <v>43920</v>
      </c>
      <c r="D174" t="s">
        <v>45</v>
      </c>
      <c r="E174" t="s">
        <v>46</v>
      </c>
      <c r="F174" t="s">
        <v>46</v>
      </c>
      <c r="G174" t="s">
        <v>23</v>
      </c>
      <c r="H174" s="5">
        <v>4230169</v>
      </c>
      <c r="I174" s="4">
        <f t="shared" ref="I174:I182" si="62">C174+M174*365</f>
        <v>44358</v>
      </c>
      <c r="J174" t="s">
        <v>47</v>
      </c>
      <c r="K174" s="12"/>
      <c r="L174" s="7">
        <v>5.9499999999999997E-2</v>
      </c>
      <c r="M174" s="8">
        <v>1.2</v>
      </c>
      <c r="N174">
        <f t="shared" ref="N174:N182" si="63">YEAR(I174)</f>
        <v>2021</v>
      </c>
      <c r="O174" s="8">
        <f t="shared" ref="O174:O182" si="64">M174*H174</f>
        <v>5076202.8</v>
      </c>
      <c r="P174" s="9">
        <f t="shared" ref="P174:P182" si="65">L174*H174</f>
        <v>251695.05549999999</v>
      </c>
      <c r="Q174" s="5">
        <f t="shared" ref="Q174:Q182" si="66">H174*L174</f>
        <v>251695.05549999999</v>
      </c>
      <c r="R174" s="5">
        <f t="shared" ref="R174:R182" si="67">Q174/4</f>
        <v>62923.763874999997</v>
      </c>
      <c r="S174" s="8">
        <f t="shared" ref="S174:S182" si="68">SUMIFS($O:$O,$C:$C,$C174,$D:$D,D174)/SUMIFS($H:$H,$C:$C,$C174,$D:$D,D174)</f>
        <v>4.1963668254324942</v>
      </c>
      <c r="T174" s="7">
        <f t="shared" ref="T174:T182" si="69">SUMIFS($P:$P,$C:$C,$C174,$D:$D,D174)/SUMIFS($H:$H,$C:$C,$C174,$D:$D,D174)</f>
        <v>4.6712500564027398E-2</v>
      </c>
    </row>
    <row r="175" spans="1:20" hidden="1" x14ac:dyDescent="0.25">
      <c r="A175" t="str">
        <f t="shared" si="60"/>
        <v>43920CRA</v>
      </c>
      <c r="B175" t="str">
        <f t="shared" si="61"/>
        <v>43920BRF</v>
      </c>
      <c r="C175" s="4">
        <v>43920</v>
      </c>
      <c r="D175" t="s">
        <v>45</v>
      </c>
      <c r="E175" t="s">
        <v>48</v>
      </c>
      <c r="F175" t="s">
        <v>48</v>
      </c>
      <c r="G175" t="s">
        <v>23</v>
      </c>
      <c r="H175" s="5">
        <v>1627138</v>
      </c>
      <c r="I175" s="4">
        <f t="shared" si="62"/>
        <v>44832.5</v>
      </c>
      <c r="J175" t="s">
        <v>49</v>
      </c>
      <c r="K175" s="10"/>
      <c r="L175" s="7">
        <v>6.4000000000000001E-2</v>
      </c>
      <c r="M175" s="8">
        <v>2.5</v>
      </c>
      <c r="N175">
        <f t="shared" si="63"/>
        <v>2022</v>
      </c>
      <c r="O175" s="8">
        <f t="shared" si="64"/>
        <v>4067845</v>
      </c>
      <c r="P175" s="9">
        <f t="shared" si="65"/>
        <v>104136.83200000001</v>
      </c>
      <c r="Q175" s="5">
        <f t="shared" si="66"/>
        <v>104136.83200000001</v>
      </c>
      <c r="R175" s="5">
        <f t="shared" si="67"/>
        <v>26034.208000000002</v>
      </c>
      <c r="S175" s="8">
        <f t="shared" si="68"/>
        <v>4.1963668254324942</v>
      </c>
      <c r="T175" s="7">
        <f t="shared" si="69"/>
        <v>4.6712500564027398E-2</v>
      </c>
    </row>
    <row r="176" spans="1:20" hidden="1" x14ac:dyDescent="0.25">
      <c r="A176" t="str">
        <f t="shared" si="60"/>
        <v>43920Fomento</v>
      </c>
      <c r="B176" t="str">
        <f t="shared" si="61"/>
        <v>43920BRF</v>
      </c>
      <c r="C176" s="4">
        <v>43920</v>
      </c>
      <c r="D176" t="s">
        <v>45</v>
      </c>
      <c r="E176" t="s">
        <v>28</v>
      </c>
      <c r="F176" t="s">
        <v>50</v>
      </c>
      <c r="G176" t="s">
        <v>23</v>
      </c>
      <c r="H176" s="5">
        <v>11540</v>
      </c>
      <c r="I176" s="4">
        <f t="shared" si="62"/>
        <v>44029.5</v>
      </c>
      <c r="J176" t="s">
        <v>51</v>
      </c>
      <c r="K176" s="10"/>
      <c r="L176" s="10">
        <v>5.1700000000000003E-2</v>
      </c>
      <c r="M176" s="8">
        <v>0.3</v>
      </c>
      <c r="N176">
        <f t="shared" si="63"/>
        <v>2020</v>
      </c>
      <c r="O176" s="8">
        <f t="shared" si="64"/>
        <v>3462</v>
      </c>
      <c r="P176" s="9">
        <f t="shared" si="65"/>
        <v>596.61800000000005</v>
      </c>
      <c r="Q176" s="5">
        <f t="shared" si="66"/>
        <v>596.61800000000005</v>
      </c>
      <c r="R176" s="5">
        <f t="shared" si="67"/>
        <v>149.15450000000001</v>
      </c>
      <c r="S176" s="8">
        <f t="shared" si="68"/>
        <v>4.1963668254324942</v>
      </c>
      <c r="T176" s="7">
        <f t="shared" si="69"/>
        <v>4.6712500564027398E-2</v>
      </c>
    </row>
    <row r="177" spans="1:20" hidden="1" x14ac:dyDescent="0.25">
      <c r="A177" t="str">
        <f t="shared" si="60"/>
        <v>43920Debentures</v>
      </c>
      <c r="B177" t="str">
        <f t="shared" si="61"/>
        <v>43920BRF</v>
      </c>
      <c r="C177" s="4">
        <v>43920</v>
      </c>
      <c r="D177" t="s">
        <v>45</v>
      </c>
      <c r="E177" t="s">
        <v>52</v>
      </c>
      <c r="F177" t="s">
        <v>52</v>
      </c>
      <c r="G177" t="s">
        <v>23</v>
      </c>
      <c r="H177" s="5">
        <v>771065</v>
      </c>
      <c r="I177" s="4">
        <f t="shared" si="62"/>
        <v>46183</v>
      </c>
      <c r="J177" t="s">
        <v>49</v>
      </c>
      <c r="K177" s="10"/>
      <c r="L177" s="7">
        <v>7.0699999999999999E-2</v>
      </c>
      <c r="M177" s="8">
        <v>6.2</v>
      </c>
      <c r="N177">
        <f t="shared" si="63"/>
        <v>2026</v>
      </c>
      <c r="O177" s="8">
        <f t="shared" si="64"/>
        <v>4780603</v>
      </c>
      <c r="P177" s="9">
        <f t="shared" si="65"/>
        <v>54514.2955</v>
      </c>
      <c r="Q177" s="5">
        <f t="shared" si="66"/>
        <v>54514.2955</v>
      </c>
      <c r="R177" s="5">
        <f t="shared" si="67"/>
        <v>13628.573875</v>
      </c>
      <c r="S177" s="8">
        <f t="shared" si="68"/>
        <v>4.1963668254324942</v>
      </c>
      <c r="T177" s="7">
        <f t="shared" si="69"/>
        <v>4.6712500564027398E-2</v>
      </c>
    </row>
    <row r="178" spans="1:20" hidden="1" x14ac:dyDescent="0.25">
      <c r="A178" t="str">
        <f t="shared" si="60"/>
        <v>43920Incentivos Fiscais</v>
      </c>
      <c r="B178" t="str">
        <f t="shared" si="61"/>
        <v>43920BRF</v>
      </c>
      <c r="C178" s="4">
        <v>43920</v>
      </c>
      <c r="D178" t="s">
        <v>45</v>
      </c>
      <c r="E178" t="s">
        <v>28</v>
      </c>
      <c r="F178" t="s">
        <v>53</v>
      </c>
      <c r="G178" t="s">
        <v>23</v>
      </c>
      <c r="H178" s="5">
        <v>23532</v>
      </c>
      <c r="I178" s="4">
        <f t="shared" si="62"/>
        <v>43920</v>
      </c>
      <c r="J178" t="s">
        <v>54</v>
      </c>
      <c r="K178" s="10"/>
      <c r="L178" s="7">
        <v>2.4E-2</v>
      </c>
      <c r="M178" s="8">
        <v>0</v>
      </c>
      <c r="N178">
        <f t="shared" si="63"/>
        <v>2020</v>
      </c>
      <c r="O178" s="8">
        <f t="shared" si="64"/>
        <v>0</v>
      </c>
      <c r="P178" s="9">
        <f t="shared" si="65"/>
        <v>564.76800000000003</v>
      </c>
      <c r="Q178" s="5">
        <f t="shared" si="66"/>
        <v>564.76800000000003</v>
      </c>
      <c r="R178" s="5">
        <f t="shared" si="67"/>
        <v>141.19200000000001</v>
      </c>
      <c r="S178" s="8">
        <f t="shared" si="68"/>
        <v>4.1963668254324942</v>
      </c>
      <c r="T178" s="7">
        <f t="shared" si="69"/>
        <v>4.6712500564027398E-2</v>
      </c>
    </row>
    <row r="179" spans="1:20" hidden="1" x14ac:dyDescent="0.25">
      <c r="A179" t="str">
        <f t="shared" si="60"/>
        <v>43920Bond</v>
      </c>
      <c r="B179" t="str">
        <f t="shared" si="61"/>
        <v>43920BRF</v>
      </c>
      <c r="C179" s="4">
        <v>43920</v>
      </c>
      <c r="D179" t="s">
        <v>45</v>
      </c>
      <c r="E179" t="s">
        <v>35</v>
      </c>
      <c r="F179" t="s">
        <v>35</v>
      </c>
      <c r="G179" t="s">
        <v>34</v>
      </c>
      <c r="H179" s="5">
        <v>13456373</v>
      </c>
      <c r="I179" s="4">
        <f t="shared" si="62"/>
        <v>46110</v>
      </c>
      <c r="J179" t="s">
        <v>54</v>
      </c>
      <c r="K179" s="10"/>
      <c r="L179" s="7">
        <v>4.3700000000000003E-2</v>
      </c>
      <c r="M179" s="8">
        <v>6</v>
      </c>
      <c r="N179">
        <f t="shared" si="63"/>
        <v>2026</v>
      </c>
      <c r="O179" s="8">
        <f t="shared" si="64"/>
        <v>80738238</v>
      </c>
      <c r="P179" s="9">
        <f t="shared" si="65"/>
        <v>588043.50010000006</v>
      </c>
      <c r="Q179" s="5">
        <f t="shared" si="66"/>
        <v>588043.50010000006</v>
      </c>
      <c r="R179" s="5">
        <f t="shared" si="67"/>
        <v>147010.87502500002</v>
      </c>
      <c r="S179" s="8">
        <f t="shared" si="68"/>
        <v>4.1963668254324942</v>
      </c>
      <c r="T179" s="7">
        <f t="shared" si="69"/>
        <v>4.6712500564027398E-2</v>
      </c>
    </row>
    <row r="180" spans="1:20" hidden="1" x14ac:dyDescent="0.25">
      <c r="A180" t="str">
        <f t="shared" si="60"/>
        <v>43920PPE</v>
      </c>
      <c r="B180" t="str">
        <f t="shared" si="61"/>
        <v>43920BRF</v>
      </c>
      <c r="C180" s="4">
        <v>43920</v>
      </c>
      <c r="D180" t="s">
        <v>45</v>
      </c>
      <c r="E180" t="s">
        <v>28</v>
      </c>
      <c r="F180" t="s">
        <v>36</v>
      </c>
      <c r="G180" t="s">
        <v>34</v>
      </c>
      <c r="H180" s="5">
        <v>2522545</v>
      </c>
      <c r="I180" s="4">
        <f t="shared" si="62"/>
        <v>45088</v>
      </c>
      <c r="J180" t="s">
        <v>55</v>
      </c>
      <c r="K180" s="10"/>
      <c r="L180" s="7">
        <v>4.3700000000000003E-2</v>
      </c>
      <c r="M180" s="8">
        <v>3.2</v>
      </c>
      <c r="N180">
        <f t="shared" si="63"/>
        <v>2023</v>
      </c>
      <c r="O180" s="8">
        <f t="shared" si="64"/>
        <v>8072144</v>
      </c>
      <c r="P180" s="9">
        <f t="shared" si="65"/>
        <v>110235.21650000001</v>
      </c>
      <c r="Q180" s="5">
        <f t="shared" si="66"/>
        <v>110235.21650000001</v>
      </c>
      <c r="R180" s="5">
        <f t="shared" si="67"/>
        <v>27558.804125000002</v>
      </c>
      <c r="S180" s="8">
        <f t="shared" si="68"/>
        <v>4.1963668254324942</v>
      </c>
      <c r="T180" s="7">
        <f t="shared" si="69"/>
        <v>4.6712500564027398E-2</v>
      </c>
    </row>
    <row r="181" spans="1:20" hidden="1" x14ac:dyDescent="0.25">
      <c r="A181" t="str">
        <f t="shared" si="60"/>
        <v>43920KG</v>
      </c>
      <c r="B181" t="str">
        <f t="shared" si="61"/>
        <v>43920BRF</v>
      </c>
      <c r="C181" s="4">
        <v>43920</v>
      </c>
      <c r="D181" t="s">
        <v>45</v>
      </c>
      <c r="E181" t="s">
        <v>28</v>
      </c>
      <c r="F181" t="s">
        <v>46</v>
      </c>
      <c r="G181" t="s">
        <v>56</v>
      </c>
      <c r="H181" s="5">
        <v>362345</v>
      </c>
      <c r="I181" s="4">
        <f t="shared" si="62"/>
        <v>44321.5</v>
      </c>
      <c r="J181" t="s">
        <v>54</v>
      </c>
      <c r="K181" s="10"/>
      <c r="L181" s="7">
        <v>0.1057</v>
      </c>
      <c r="M181" s="8">
        <v>1.1000000000000001</v>
      </c>
      <c r="N181">
        <f t="shared" si="63"/>
        <v>2021</v>
      </c>
      <c r="O181" s="8">
        <f t="shared" si="64"/>
        <v>398579.50000000006</v>
      </c>
      <c r="P181" s="9">
        <f t="shared" si="65"/>
        <v>38299.866500000004</v>
      </c>
      <c r="Q181" s="5">
        <f t="shared" si="66"/>
        <v>38299.866500000004</v>
      </c>
      <c r="R181" s="5">
        <f t="shared" si="67"/>
        <v>9574.9666250000009</v>
      </c>
      <c r="S181" s="8">
        <f t="shared" si="68"/>
        <v>4.1963668254324942</v>
      </c>
      <c r="T181" s="7">
        <f t="shared" si="69"/>
        <v>4.6712500564027398E-2</v>
      </c>
    </row>
    <row r="182" spans="1:20" hidden="1" x14ac:dyDescent="0.25">
      <c r="A182" t="str">
        <f t="shared" si="60"/>
        <v>43920Derivativo</v>
      </c>
      <c r="B182" t="str">
        <f t="shared" si="61"/>
        <v>43920BRF</v>
      </c>
      <c r="C182" s="4">
        <v>43920</v>
      </c>
      <c r="D182" t="s">
        <v>45</v>
      </c>
      <c r="E182" t="s">
        <v>28</v>
      </c>
      <c r="F182" t="s">
        <v>57</v>
      </c>
      <c r="G182" t="s">
        <v>23</v>
      </c>
      <c r="H182" s="13">
        <v>1573000</v>
      </c>
      <c r="I182" s="4">
        <f t="shared" si="62"/>
        <v>43920</v>
      </c>
      <c r="N182">
        <f t="shared" si="63"/>
        <v>2020</v>
      </c>
      <c r="O182" s="8">
        <f t="shared" si="64"/>
        <v>0</v>
      </c>
      <c r="P182" s="9">
        <f t="shared" si="65"/>
        <v>0</v>
      </c>
      <c r="Q182" s="5">
        <f t="shared" si="66"/>
        <v>0</v>
      </c>
      <c r="R182" s="5">
        <f t="shared" si="67"/>
        <v>0</v>
      </c>
      <c r="S182" s="8">
        <f t="shared" si="68"/>
        <v>4.1963668254324942</v>
      </c>
      <c r="T182" s="14">
        <f t="shared" si="69"/>
        <v>4.6712500564027398E-2</v>
      </c>
    </row>
    <row r="183" spans="1:20" hidden="1" x14ac:dyDescent="0.25"/>
    <row r="184" spans="1:20" hidden="1" x14ac:dyDescent="0.25">
      <c r="A184" t="str">
        <f t="shared" ref="A184:A194" si="70">C184&amp;F184</f>
        <v>43830KG</v>
      </c>
      <c r="B184" t="str">
        <f t="shared" ref="B184:B194" si="71">C184&amp;D184</f>
        <v>43830BRF</v>
      </c>
      <c r="C184" s="4">
        <v>43830</v>
      </c>
      <c r="D184" t="s">
        <v>45</v>
      </c>
      <c r="E184" t="s">
        <v>46</v>
      </c>
      <c r="F184" t="s">
        <v>46</v>
      </c>
      <c r="G184" t="s">
        <v>23</v>
      </c>
      <c r="H184" s="5">
        <v>3312639</v>
      </c>
      <c r="I184" s="4">
        <f t="shared" ref="I184:I194" si="72">C184+M184*365</f>
        <v>44268</v>
      </c>
      <c r="J184" t="s">
        <v>47</v>
      </c>
      <c r="K184" s="12"/>
      <c r="L184" s="7">
        <v>6.0699999999999997E-2</v>
      </c>
      <c r="M184" s="8">
        <v>1.2</v>
      </c>
      <c r="N184">
        <f t="shared" ref="N184:N194" si="73">YEAR(I184)</f>
        <v>2021</v>
      </c>
      <c r="O184" s="8">
        <f t="shared" ref="O184:O194" si="74">M184*H184</f>
        <v>3975166.8</v>
      </c>
      <c r="P184" s="9">
        <f t="shared" ref="P184:P194" si="75">L184*H184</f>
        <v>201077.18729999999</v>
      </c>
      <c r="Q184" s="5">
        <f t="shared" ref="Q184:Q194" si="76">H184*L184</f>
        <v>201077.18729999999</v>
      </c>
      <c r="R184" s="5">
        <f t="shared" ref="R184:R194" si="77">Q184/4</f>
        <v>50269.296824999998</v>
      </c>
      <c r="S184" s="8">
        <f t="shared" ref="S184:S194" si="78">SUMIFS($O:$O,$C:$C,$C184,$D:$D,D184)/SUMIFS($H:$H,$C:$C,$C184,$D:$D,D184)</f>
        <v>4.8716624331998464</v>
      </c>
      <c r="T184" s="7">
        <f t="shared" ref="T184:T194" si="79">SUMIFS($P:$P,$C:$C,$C184,$D:$D,D184)/SUMIFS($H:$H,$C:$C,$C184,$D:$D,D184)</f>
        <v>5.4111616335072103E-2</v>
      </c>
    </row>
    <row r="185" spans="1:20" hidden="1" x14ac:dyDescent="0.25">
      <c r="A185" t="str">
        <f t="shared" si="70"/>
        <v>43830CRA</v>
      </c>
      <c r="B185" t="str">
        <f t="shared" si="71"/>
        <v>43830BRF</v>
      </c>
      <c r="C185" s="4">
        <v>43830</v>
      </c>
      <c r="D185" t="s">
        <v>45</v>
      </c>
      <c r="E185" t="s">
        <v>48</v>
      </c>
      <c r="F185" t="s">
        <v>48</v>
      </c>
      <c r="G185" t="s">
        <v>23</v>
      </c>
      <c r="H185" s="5">
        <v>1597447</v>
      </c>
      <c r="I185" s="4">
        <f t="shared" si="72"/>
        <v>44742.5</v>
      </c>
      <c r="J185" t="s">
        <v>49</v>
      </c>
      <c r="K185" s="10"/>
      <c r="L185" s="7">
        <v>6.7299999999999999E-2</v>
      </c>
      <c r="M185" s="8">
        <v>2.5</v>
      </c>
      <c r="N185">
        <f t="shared" si="73"/>
        <v>2022</v>
      </c>
      <c r="O185" s="8">
        <f t="shared" si="74"/>
        <v>3993617.5</v>
      </c>
      <c r="P185" s="9">
        <f t="shared" si="75"/>
        <v>107508.18309999999</v>
      </c>
      <c r="Q185" s="5">
        <f t="shared" si="76"/>
        <v>107508.18309999999</v>
      </c>
      <c r="R185" s="5">
        <f t="shared" si="77"/>
        <v>26877.045774999999</v>
      </c>
      <c r="S185" s="8">
        <f t="shared" si="78"/>
        <v>4.8716624331998464</v>
      </c>
      <c r="T185" s="7">
        <f t="shared" si="79"/>
        <v>5.4111616335072103E-2</v>
      </c>
    </row>
    <row r="186" spans="1:20" hidden="1" x14ac:dyDescent="0.25">
      <c r="A186" t="str">
        <f t="shared" si="70"/>
        <v>43830Fomento</v>
      </c>
      <c r="B186" t="str">
        <f t="shared" si="71"/>
        <v>43830BRF</v>
      </c>
      <c r="C186" s="4">
        <v>43830</v>
      </c>
      <c r="D186" t="s">
        <v>45</v>
      </c>
      <c r="E186" t="s">
        <v>28</v>
      </c>
      <c r="F186" t="s">
        <v>50</v>
      </c>
      <c r="G186" t="s">
        <v>23</v>
      </c>
      <c r="H186" s="5">
        <v>45516</v>
      </c>
      <c r="I186" s="4">
        <f t="shared" si="72"/>
        <v>43939.5</v>
      </c>
      <c r="J186" t="s">
        <v>51</v>
      </c>
      <c r="K186" s="10"/>
      <c r="L186" s="10">
        <v>5.0900000000000001E-2</v>
      </c>
      <c r="M186" s="8">
        <v>0.3</v>
      </c>
      <c r="N186">
        <f t="shared" si="73"/>
        <v>2020</v>
      </c>
      <c r="O186" s="8">
        <f t="shared" si="74"/>
        <v>13654.8</v>
      </c>
      <c r="P186" s="9">
        <f t="shared" si="75"/>
        <v>2316.7644</v>
      </c>
      <c r="Q186" s="5">
        <f t="shared" si="76"/>
        <v>2316.7644</v>
      </c>
      <c r="R186" s="5">
        <f t="shared" si="77"/>
        <v>579.19110000000001</v>
      </c>
      <c r="S186" s="8">
        <f t="shared" si="78"/>
        <v>4.8716624331998464</v>
      </c>
      <c r="T186" s="7">
        <f t="shared" si="79"/>
        <v>5.4111616335072103E-2</v>
      </c>
    </row>
    <row r="187" spans="1:20" hidden="1" x14ac:dyDescent="0.25">
      <c r="A187" t="str">
        <f t="shared" si="70"/>
        <v>43830Debentures</v>
      </c>
      <c r="B187" t="str">
        <f t="shared" si="71"/>
        <v>43830BRF</v>
      </c>
      <c r="C187" s="4">
        <v>43830</v>
      </c>
      <c r="D187" t="s">
        <v>45</v>
      </c>
      <c r="E187" t="s">
        <v>52</v>
      </c>
      <c r="F187" t="s">
        <v>52</v>
      </c>
      <c r="G187" t="s">
        <v>23</v>
      </c>
      <c r="H187" s="5">
        <v>755760</v>
      </c>
      <c r="I187" s="4">
        <f t="shared" si="72"/>
        <v>46093</v>
      </c>
      <c r="J187" t="s">
        <v>49</v>
      </c>
      <c r="K187" s="10"/>
      <c r="L187" s="7">
        <v>7.9000000000000001E-2</v>
      </c>
      <c r="M187" s="8">
        <v>6.2</v>
      </c>
      <c r="N187">
        <f t="shared" si="73"/>
        <v>2026</v>
      </c>
      <c r="O187" s="8">
        <f t="shared" si="74"/>
        <v>4685712</v>
      </c>
      <c r="P187" s="9">
        <f t="shared" si="75"/>
        <v>59705.04</v>
      </c>
      <c r="Q187" s="5">
        <f t="shared" si="76"/>
        <v>59705.04</v>
      </c>
      <c r="R187" s="5">
        <f t="shared" si="77"/>
        <v>14926.26</v>
      </c>
      <c r="S187" s="8">
        <f t="shared" si="78"/>
        <v>4.8716624331998464</v>
      </c>
      <c r="T187" s="7">
        <f t="shared" si="79"/>
        <v>5.4111616335072103E-2</v>
      </c>
    </row>
    <row r="188" spans="1:20" hidden="1" x14ac:dyDescent="0.25">
      <c r="A188" t="str">
        <f t="shared" si="70"/>
        <v>43830NCE</v>
      </c>
      <c r="B188" t="str">
        <f t="shared" si="71"/>
        <v>43830BRF</v>
      </c>
      <c r="C188" s="4">
        <v>43830</v>
      </c>
      <c r="D188" t="s">
        <v>45</v>
      </c>
      <c r="E188" t="s">
        <v>31</v>
      </c>
      <c r="F188" t="s">
        <v>31</v>
      </c>
      <c r="G188" t="s">
        <v>23</v>
      </c>
      <c r="H188" s="5">
        <v>1612365</v>
      </c>
      <c r="I188" s="4">
        <f t="shared" si="72"/>
        <v>47005.5</v>
      </c>
      <c r="J188" t="s">
        <v>24</v>
      </c>
      <c r="K188" s="10"/>
      <c r="L188" s="7">
        <v>5.8299999999999998E-2</v>
      </c>
      <c r="M188" s="8">
        <v>8.6999999999999993</v>
      </c>
      <c r="N188">
        <f t="shared" si="73"/>
        <v>2028</v>
      </c>
      <c r="O188" s="8">
        <f t="shared" si="74"/>
        <v>14027575.499999998</v>
      </c>
      <c r="P188" s="9">
        <f t="shared" si="75"/>
        <v>94000.879499999995</v>
      </c>
      <c r="Q188" s="5">
        <f t="shared" si="76"/>
        <v>94000.879499999995</v>
      </c>
      <c r="R188" s="5">
        <f t="shared" si="77"/>
        <v>23500.219874999999</v>
      </c>
      <c r="S188" s="8">
        <f t="shared" si="78"/>
        <v>4.8716624331998464</v>
      </c>
      <c r="T188" s="7">
        <f t="shared" si="79"/>
        <v>5.4111616335072103E-2</v>
      </c>
    </row>
    <row r="189" spans="1:20" hidden="1" x14ac:dyDescent="0.25">
      <c r="A189" t="str">
        <f t="shared" si="70"/>
        <v>43830PESA</v>
      </c>
      <c r="B189" t="str">
        <f t="shared" si="71"/>
        <v>43830BRF</v>
      </c>
      <c r="C189" s="4">
        <v>43830</v>
      </c>
      <c r="D189" t="s">
        <v>45</v>
      </c>
      <c r="E189" t="s">
        <v>28</v>
      </c>
      <c r="F189" t="s">
        <v>58</v>
      </c>
      <c r="G189" t="s">
        <v>23</v>
      </c>
      <c r="H189" s="5">
        <v>284308</v>
      </c>
      <c r="I189" s="4">
        <f t="shared" si="72"/>
        <v>43903</v>
      </c>
      <c r="J189" t="s">
        <v>24</v>
      </c>
      <c r="K189" s="10"/>
      <c r="L189" s="7">
        <v>0.1222</v>
      </c>
      <c r="M189" s="8">
        <v>0.2</v>
      </c>
      <c r="N189">
        <f t="shared" si="73"/>
        <v>2020</v>
      </c>
      <c r="O189" s="8">
        <f t="shared" si="74"/>
        <v>56861.600000000006</v>
      </c>
      <c r="P189" s="9">
        <f t="shared" si="75"/>
        <v>34742.437599999997</v>
      </c>
      <c r="Q189" s="5">
        <f t="shared" si="76"/>
        <v>34742.437599999997</v>
      </c>
      <c r="R189" s="5">
        <f t="shared" si="77"/>
        <v>8685.6093999999994</v>
      </c>
      <c r="S189" s="8">
        <f t="shared" si="78"/>
        <v>4.8716624331998464</v>
      </c>
      <c r="T189" s="7">
        <f t="shared" si="79"/>
        <v>5.4111616335072103E-2</v>
      </c>
    </row>
    <row r="190" spans="1:20" hidden="1" x14ac:dyDescent="0.25">
      <c r="A190" t="str">
        <f t="shared" si="70"/>
        <v>43830Incentivos Fiscais</v>
      </c>
      <c r="B190" t="str">
        <f t="shared" si="71"/>
        <v>43830BRF</v>
      </c>
      <c r="C190" s="4">
        <v>43830</v>
      </c>
      <c r="D190" t="s">
        <v>45</v>
      </c>
      <c r="E190" t="s">
        <v>28</v>
      </c>
      <c r="F190" t="s">
        <v>53</v>
      </c>
      <c r="G190" t="s">
        <v>23</v>
      </c>
      <c r="H190" s="5">
        <v>5720</v>
      </c>
      <c r="I190" s="4">
        <f t="shared" si="72"/>
        <v>43830</v>
      </c>
      <c r="J190" t="s">
        <v>54</v>
      </c>
      <c r="K190" s="10"/>
      <c r="L190" s="7">
        <v>2.4E-2</v>
      </c>
      <c r="M190" s="8">
        <v>0</v>
      </c>
      <c r="N190">
        <f t="shared" si="73"/>
        <v>2019</v>
      </c>
      <c r="O190" s="8">
        <f t="shared" si="74"/>
        <v>0</v>
      </c>
      <c r="P190" s="9">
        <f t="shared" si="75"/>
        <v>137.28</v>
      </c>
      <c r="Q190" s="5">
        <f t="shared" si="76"/>
        <v>137.28</v>
      </c>
      <c r="R190" s="5">
        <f t="shared" si="77"/>
        <v>34.32</v>
      </c>
      <c r="S190" s="8">
        <f t="shared" si="78"/>
        <v>4.8716624331998464</v>
      </c>
      <c r="T190" s="7">
        <f t="shared" si="79"/>
        <v>5.4111616335072103E-2</v>
      </c>
    </row>
    <row r="191" spans="1:20" hidden="1" x14ac:dyDescent="0.25">
      <c r="A191" t="str">
        <f t="shared" si="70"/>
        <v>43830Bond</v>
      </c>
      <c r="B191" t="str">
        <f t="shared" si="71"/>
        <v>43830BRF</v>
      </c>
      <c r="C191" s="4">
        <v>43830</v>
      </c>
      <c r="D191" t="s">
        <v>45</v>
      </c>
      <c r="E191" t="s">
        <v>35</v>
      </c>
      <c r="F191" t="s">
        <v>35</v>
      </c>
      <c r="G191" t="s">
        <v>34</v>
      </c>
      <c r="H191" s="5">
        <v>10407484</v>
      </c>
      <c r="I191" s="4">
        <f t="shared" si="72"/>
        <v>46020</v>
      </c>
      <c r="J191" t="s">
        <v>54</v>
      </c>
      <c r="K191" s="10"/>
      <c r="L191" s="7">
        <v>4.36E-2</v>
      </c>
      <c r="M191" s="8">
        <v>6</v>
      </c>
      <c r="N191">
        <f t="shared" si="73"/>
        <v>2025</v>
      </c>
      <c r="O191" s="8">
        <f t="shared" si="74"/>
        <v>62444904</v>
      </c>
      <c r="P191" s="9">
        <f t="shared" si="75"/>
        <v>453766.30239999999</v>
      </c>
      <c r="Q191" s="5">
        <f t="shared" si="76"/>
        <v>453766.30239999999</v>
      </c>
      <c r="R191" s="5">
        <f t="shared" si="77"/>
        <v>113441.5756</v>
      </c>
      <c r="S191" s="8">
        <f t="shared" si="78"/>
        <v>4.8716624331998464</v>
      </c>
      <c r="T191" s="7">
        <f t="shared" si="79"/>
        <v>5.4111616335072103E-2</v>
      </c>
    </row>
    <row r="192" spans="1:20" hidden="1" x14ac:dyDescent="0.25">
      <c r="A192" t="str">
        <f t="shared" si="70"/>
        <v>43830PPE</v>
      </c>
      <c r="B192" t="str">
        <f t="shared" si="71"/>
        <v>43830BRF</v>
      </c>
      <c r="C192" s="4">
        <v>43830</v>
      </c>
      <c r="D192" t="s">
        <v>45</v>
      </c>
      <c r="E192" t="s">
        <v>28</v>
      </c>
      <c r="F192" t="s">
        <v>36</v>
      </c>
      <c r="G192" t="s">
        <v>34</v>
      </c>
      <c r="H192" s="5">
        <v>407275</v>
      </c>
      <c r="I192" s="4">
        <f t="shared" si="72"/>
        <v>44998</v>
      </c>
      <c r="J192" t="s">
        <v>55</v>
      </c>
      <c r="K192" s="10"/>
      <c r="L192" s="7">
        <v>5.5399999999999998E-2</v>
      </c>
      <c r="M192" s="8">
        <v>3.2</v>
      </c>
      <c r="N192">
        <f t="shared" si="73"/>
        <v>2023</v>
      </c>
      <c r="O192" s="8">
        <f t="shared" si="74"/>
        <v>1303280</v>
      </c>
      <c r="P192" s="9">
        <f t="shared" si="75"/>
        <v>22563.035</v>
      </c>
      <c r="Q192" s="5">
        <f t="shared" si="76"/>
        <v>22563.035</v>
      </c>
      <c r="R192" s="5">
        <f t="shared" si="77"/>
        <v>5640.75875</v>
      </c>
      <c r="S192" s="8">
        <f t="shared" si="78"/>
        <v>4.8716624331998464</v>
      </c>
      <c r="T192" s="7">
        <f t="shared" si="79"/>
        <v>5.4111616335072103E-2</v>
      </c>
    </row>
    <row r="193" spans="1:20" hidden="1" x14ac:dyDescent="0.25">
      <c r="A193" t="str">
        <f t="shared" si="70"/>
        <v>43830KG</v>
      </c>
      <c r="B193" t="str">
        <f t="shared" si="71"/>
        <v>43830BRF</v>
      </c>
      <c r="C193" s="4">
        <v>43830</v>
      </c>
      <c r="D193" t="s">
        <v>45</v>
      </c>
      <c r="E193" t="s">
        <v>28</v>
      </c>
      <c r="F193" t="s">
        <v>46</v>
      </c>
      <c r="G193" t="s">
        <v>56</v>
      </c>
      <c r="H193" s="5">
        <v>191765</v>
      </c>
      <c r="I193" s="4">
        <f t="shared" si="72"/>
        <v>44231.5</v>
      </c>
      <c r="J193" t="s">
        <v>54</v>
      </c>
      <c r="K193" s="10"/>
      <c r="L193" s="7">
        <v>0.1656</v>
      </c>
      <c r="M193" s="8">
        <v>1.1000000000000001</v>
      </c>
      <c r="N193">
        <f t="shared" si="73"/>
        <v>2021</v>
      </c>
      <c r="O193" s="8">
        <f t="shared" si="74"/>
        <v>210941.50000000003</v>
      </c>
      <c r="P193" s="9">
        <f t="shared" si="75"/>
        <v>31756.284</v>
      </c>
      <c r="Q193" s="5">
        <f t="shared" si="76"/>
        <v>31756.284</v>
      </c>
      <c r="R193" s="5">
        <f t="shared" si="77"/>
        <v>7939.0709999999999</v>
      </c>
      <c r="S193" s="8">
        <f t="shared" si="78"/>
        <v>4.8716624331998464</v>
      </c>
      <c r="T193" s="7">
        <f t="shared" si="79"/>
        <v>5.4111616335072103E-2</v>
      </c>
    </row>
    <row r="194" spans="1:20" hidden="1" x14ac:dyDescent="0.25">
      <c r="A194" t="str">
        <f t="shared" si="70"/>
        <v>43830Derivativo</v>
      </c>
      <c r="B194" t="str">
        <f t="shared" si="71"/>
        <v>43830BRF</v>
      </c>
      <c r="C194" s="4">
        <v>43830</v>
      </c>
      <c r="D194" t="s">
        <v>45</v>
      </c>
      <c r="E194" t="s">
        <v>28</v>
      </c>
      <c r="F194" t="s">
        <v>57</v>
      </c>
      <c r="G194" t="s">
        <v>23</v>
      </c>
      <c r="I194" s="4">
        <f t="shared" si="72"/>
        <v>43830</v>
      </c>
      <c r="N194">
        <f t="shared" si="73"/>
        <v>2019</v>
      </c>
      <c r="O194" s="8">
        <f t="shared" si="74"/>
        <v>0</v>
      </c>
      <c r="P194" s="9">
        <f t="shared" si="75"/>
        <v>0</v>
      </c>
      <c r="Q194" s="5">
        <f t="shared" si="76"/>
        <v>0</v>
      </c>
      <c r="R194" s="5">
        <f t="shared" si="77"/>
        <v>0</v>
      </c>
      <c r="S194" s="8">
        <f t="shared" si="78"/>
        <v>4.8716624331998464</v>
      </c>
      <c r="T194" s="14">
        <f t="shared" si="79"/>
        <v>5.4111616335072103E-2</v>
      </c>
    </row>
    <row r="195" spans="1:20" hidden="1" x14ac:dyDescent="0.25"/>
    <row r="196" spans="1:20" hidden="1" x14ac:dyDescent="0.25">
      <c r="A196" t="str">
        <f t="shared" ref="A196:A207" si="80">C196&amp;F196</f>
        <v>43738KG</v>
      </c>
      <c r="B196" t="str">
        <f t="shared" ref="B196:B207" si="81">C196&amp;D196</f>
        <v>43738BRF</v>
      </c>
      <c r="C196" s="4">
        <v>43738</v>
      </c>
      <c r="D196" t="s">
        <v>45</v>
      </c>
      <c r="E196" t="s">
        <v>46</v>
      </c>
      <c r="F196" t="s">
        <v>46</v>
      </c>
      <c r="G196" t="s">
        <v>23</v>
      </c>
      <c r="H196" s="5">
        <v>4747312</v>
      </c>
      <c r="I196" s="4">
        <f t="shared" ref="I196" si="82">C196+M196*365</f>
        <v>44249</v>
      </c>
      <c r="J196" t="s">
        <v>47</v>
      </c>
      <c r="K196" s="12"/>
      <c r="L196" s="7">
        <v>7.2300000000000003E-2</v>
      </c>
      <c r="M196" s="8">
        <v>1.4</v>
      </c>
      <c r="N196">
        <f t="shared" ref="N196:N207" si="83">YEAR(I196)</f>
        <v>2021</v>
      </c>
      <c r="O196" s="8">
        <f t="shared" ref="O196:O207" si="84">M196*H196</f>
        <v>6646236.7999999998</v>
      </c>
      <c r="P196" s="9">
        <f t="shared" ref="P196:P207" si="85">L196*H196</f>
        <v>343230.65760000004</v>
      </c>
      <c r="Q196" s="5">
        <f t="shared" ref="Q196:Q207" si="86">H196*L196</f>
        <v>343230.65760000004</v>
      </c>
      <c r="R196" s="5">
        <f t="shared" ref="R196:R207" si="87">Q196/4</f>
        <v>85807.664400000009</v>
      </c>
      <c r="S196" s="8">
        <f t="shared" ref="S196:S207" si="88">SUMIFS($O:$O,$C:$C,$C196,$D:$D,D196)/SUMIFS($H:$H,$C:$C,$C196,$D:$D,D196)</f>
        <v>4.6563256258301662</v>
      </c>
      <c r="T196" s="7">
        <f t="shared" ref="T196:T207" si="89">SUMIFS($P:$P,$C:$C,$C196,$D:$D,D196)/SUMIFS($H:$H,$C:$C,$C196,$D:$D,D196)</f>
        <v>5.7957764759556364E-2</v>
      </c>
    </row>
    <row r="197" spans="1:20" hidden="1" x14ac:dyDescent="0.25">
      <c r="A197" t="str">
        <f t="shared" si="80"/>
        <v>43738CRA</v>
      </c>
      <c r="B197" t="str">
        <f t="shared" si="81"/>
        <v>43738BRF</v>
      </c>
      <c r="C197" s="4">
        <v>43738</v>
      </c>
      <c r="D197" t="s">
        <v>45</v>
      </c>
      <c r="E197" t="s">
        <v>48</v>
      </c>
      <c r="F197" t="s">
        <v>48</v>
      </c>
      <c r="G197" t="s">
        <v>23</v>
      </c>
      <c r="H197" s="5">
        <v>1569414</v>
      </c>
      <c r="I197" s="4">
        <f>C197+M197*365</f>
        <v>44723.5</v>
      </c>
      <c r="J197" t="s">
        <v>49</v>
      </c>
      <c r="K197" s="10"/>
      <c r="L197" s="7">
        <v>7.2400000000000006E-2</v>
      </c>
      <c r="M197" s="8">
        <v>2.7</v>
      </c>
      <c r="N197">
        <f t="shared" si="83"/>
        <v>2022</v>
      </c>
      <c r="O197" s="8">
        <f t="shared" si="84"/>
        <v>4237417.8</v>
      </c>
      <c r="P197" s="9">
        <f t="shared" si="85"/>
        <v>113625.5736</v>
      </c>
      <c r="Q197" s="5">
        <f t="shared" si="86"/>
        <v>113625.5736</v>
      </c>
      <c r="R197" s="5">
        <f t="shared" si="87"/>
        <v>28406.393400000001</v>
      </c>
      <c r="S197" s="8">
        <f t="shared" si="88"/>
        <v>4.6563256258301662</v>
      </c>
      <c r="T197" s="7">
        <f t="shared" si="89"/>
        <v>5.7957764759556364E-2</v>
      </c>
    </row>
    <row r="198" spans="1:20" hidden="1" x14ac:dyDescent="0.25">
      <c r="A198" t="str">
        <f t="shared" si="80"/>
        <v>43738Fomento</v>
      </c>
      <c r="B198" t="str">
        <f t="shared" si="81"/>
        <v>43738BRF</v>
      </c>
      <c r="C198" s="4">
        <v>43738</v>
      </c>
      <c r="D198" t="s">
        <v>45</v>
      </c>
      <c r="E198" t="s">
        <v>28</v>
      </c>
      <c r="F198" t="s">
        <v>50</v>
      </c>
      <c r="G198" t="s">
        <v>23</v>
      </c>
      <c r="H198" s="5">
        <v>85877</v>
      </c>
      <c r="I198" s="4">
        <f t="shared" ref="I198:I207" si="90">C198+M198*365</f>
        <v>43920.5</v>
      </c>
      <c r="J198" t="s">
        <v>51</v>
      </c>
      <c r="K198" s="10"/>
      <c r="L198" s="10">
        <v>5.0099999999999999E-2</v>
      </c>
      <c r="M198" s="8">
        <v>0.5</v>
      </c>
      <c r="N198">
        <f t="shared" si="83"/>
        <v>2020</v>
      </c>
      <c r="O198" s="8">
        <f t="shared" si="84"/>
        <v>42938.5</v>
      </c>
      <c r="P198" s="9">
        <f t="shared" si="85"/>
        <v>4302.4376999999995</v>
      </c>
      <c r="Q198" s="5">
        <f t="shared" si="86"/>
        <v>4302.4376999999995</v>
      </c>
      <c r="R198" s="5">
        <f t="shared" si="87"/>
        <v>1075.6094249999999</v>
      </c>
      <c r="S198" s="8">
        <f t="shared" si="88"/>
        <v>4.6563256258301662</v>
      </c>
      <c r="T198" s="7">
        <f t="shared" si="89"/>
        <v>5.7957764759556364E-2</v>
      </c>
    </row>
    <row r="199" spans="1:20" hidden="1" x14ac:dyDescent="0.25">
      <c r="A199" t="str">
        <f t="shared" si="80"/>
        <v>43738Debentures</v>
      </c>
      <c r="B199" t="str">
        <f t="shared" si="81"/>
        <v>43738BRF</v>
      </c>
      <c r="C199" s="4">
        <v>43738</v>
      </c>
      <c r="D199" t="s">
        <v>45</v>
      </c>
      <c r="E199" t="s">
        <v>52</v>
      </c>
      <c r="F199" t="s">
        <v>52</v>
      </c>
      <c r="G199" t="s">
        <v>23</v>
      </c>
      <c r="H199" s="5">
        <v>758929</v>
      </c>
      <c r="I199" s="4">
        <f t="shared" si="90"/>
        <v>46001</v>
      </c>
      <c r="J199" t="s">
        <v>49</v>
      </c>
      <c r="K199" s="10"/>
      <c r="L199" s="7">
        <v>7.9000000000000001E-2</v>
      </c>
      <c r="M199" s="8">
        <v>6.2</v>
      </c>
      <c r="N199">
        <f t="shared" si="83"/>
        <v>2025</v>
      </c>
      <c r="O199" s="8">
        <f t="shared" si="84"/>
        <v>4705359.8</v>
      </c>
      <c r="P199" s="9">
        <f t="shared" si="85"/>
        <v>59955.391000000003</v>
      </c>
      <c r="Q199" s="5">
        <f t="shared" si="86"/>
        <v>59955.391000000003</v>
      </c>
      <c r="R199" s="5">
        <f t="shared" si="87"/>
        <v>14988.847750000001</v>
      </c>
      <c r="S199" s="8">
        <f t="shared" si="88"/>
        <v>4.6563256258301662</v>
      </c>
      <c r="T199" s="7">
        <f t="shared" si="89"/>
        <v>5.7957764759556364E-2</v>
      </c>
    </row>
    <row r="200" spans="1:20" hidden="1" x14ac:dyDescent="0.25">
      <c r="A200" t="str">
        <f t="shared" si="80"/>
        <v>43738NCE</v>
      </c>
      <c r="B200" t="str">
        <f t="shared" si="81"/>
        <v>43738BRF</v>
      </c>
      <c r="C200" s="4">
        <v>43738</v>
      </c>
      <c r="D200" t="s">
        <v>45</v>
      </c>
      <c r="E200" t="s">
        <v>31</v>
      </c>
      <c r="F200" t="s">
        <v>31</v>
      </c>
      <c r="G200" t="s">
        <v>23</v>
      </c>
      <c r="H200" s="5">
        <v>1587200</v>
      </c>
      <c r="I200" s="4">
        <f t="shared" si="90"/>
        <v>47023</v>
      </c>
      <c r="J200" t="s">
        <v>24</v>
      </c>
      <c r="K200" s="10"/>
      <c r="L200" s="7">
        <v>6.83E-2</v>
      </c>
      <c r="M200" s="8">
        <v>9</v>
      </c>
      <c r="N200">
        <f t="shared" si="83"/>
        <v>2028</v>
      </c>
      <c r="O200" s="8">
        <f t="shared" si="84"/>
        <v>14284800</v>
      </c>
      <c r="P200" s="9">
        <f t="shared" si="85"/>
        <v>108405.75999999999</v>
      </c>
      <c r="Q200" s="5">
        <f t="shared" si="86"/>
        <v>108405.75999999999</v>
      </c>
      <c r="R200" s="5">
        <f t="shared" si="87"/>
        <v>27101.439999999999</v>
      </c>
      <c r="S200" s="8">
        <f t="shared" si="88"/>
        <v>4.6563256258301662</v>
      </c>
      <c r="T200" s="7">
        <f t="shared" si="89"/>
        <v>5.7957764759556364E-2</v>
      </c>
    </row>
    <row r="201" spans="1:20" hidden="1" x14ac:dyDescent="0.25">
      <c r="A201" t="str">
        <f t="shared" si="80"/>
        <v>43738PESA</v>
      </c>
      <c r="B201" t="str">
        <f t="shared" si="81"/>
        <v>43738BRF</v>
      </c>
      <c r="C201" s="4">
        <v>43738</v>
      </c>
      <c r="D201" t="s">
        <v>45</v>
      </c>
      <c r="E201" t="s">
        <v>28</v>
      </c>
      <c r="F201" t="s">
        <v>58</v>
      </c>
      <c r="G201" t="s">
        <v>23</v>
      </c>
      <c r="H201" s="5">
        <v>280567</v>
      </c>
      <c r="I201" s="4">
        <f t="shared" si="90"/>
        <v>43884</v>
      </c>
      <c r="J201" t="s">
        <v>24</v>
      </c>
      <c r="K201" s="10"/>
      <c r="L201" s="7">
        <v>8.2799999999999999E-2</v>
      </c>
      <c r="M201" s="8">
        <v>0.4</v>
      </c>
      <c r="N201">
        <f t="shared" si="83"/>
        <v>2020</v>
      </c>
      <c r="O201" s="8">
        <f t="shared" si="84"/>
        <v>112226.8</v>
      </c>
      <c r="P201" s="9">
        <f t="shared" si="85"/>
        <v>23230.9476</v>
      </c>
      <c r="Q201" s="5">
        <f t="shared" si="86"/>
        <v>23230.9476</v>
      </c>
      <c r="R201" s="5">
        <f t="shared" si="87"/>
        <v>5807.7368999999999</v>
      </c>
      <c r="S201" s="8">
        <f t="shared" si="88"/>
        <v>4.6563256258301662</v>
      </c>
      <c r="T201" s="7">
        <f t="shared" si="89"/>
        <v>5.7957764759556364E-2</v>
      </c>
    </row>
    <row r="202" spans="1:20" hidden="1" x14ac:dyDescent="0.25">
      <c r="A202" t="str">
        <f t="shared" si="80"/>
        <v>43738Incentivos Fiscais</v>
      </c>
      <c r="B202" t="str">
        <f t="shared" si="81"/>
        <v>43738BRF</v>
      </c>
      <c r="C202" s="4">
        <v>43738</v>
      </c>
      <c r="D202" t="s">
        <v>45</v>
      </c>
      <c r="E202" t="s">
        <v>28</v>
      </c>
      <c r="F202" t="s">
        <v>53</v>
      </c>
      <c r="G202" t="s">
        <v>23</v>
      </c>
      <c r="H202" s="5">
        <v>25525</v>
      </c>
      <c r="I202" s="4">
        <f t="shared" si="90"/>
        <v>43738</v>
      </c>
      <c r="J202" t="s">
        <v>54</v>
      </c>
      <c r="K202" s="10"/>
      <c r="L202" s="7">
        <v>2.4E-2</v>
      </c>
      <c r="M202" s="8">
        <v>0</v>
      </c>
      <c r="N202">
        <f t="shared" si="83"/>
        <v>2019</v>
      </c>
      <c r="O202" s="8">
        <f t="shared" si="84"/>
        <v>0</v>
      </c>
      <c r="P202" s="9">
        <f t="shared" si="85"/>
        <v>612.6</v>
      </c>
      <c r="Q202" s="5">
        <f t="shared" si="86"/>
        <v>612.6</v>
      </c>
      <c r="R202" s="5">
        <f t="shared" si="87"/>
        <v>153.15</v>
      </c>
      <c r="S202" s="8">
        <f t="shared" si="88"/>
        <v>4.6563256258301662</v>
      </c>
      <c r="T202" s="7">
        <f t="shared" si="89"/>
        <v>5.7957764759556364E-2</v>
      </c>
    </row>
    <row r="203" spans="1:20" hidden="1" x14ac:dyDescent="0.25">
      <c r="A203" t="str">
        <f t="shared" si="80"/>
        <v>43738Bond</v>
      </c>
      <c r="B203" t="str">
        <f t="shared" si="81"/>
        <v>43738BRF</v>
      </c>
      <c r="C203" s="4">
        <v>43738</v>
      </c>
      <c r="D203" t="s">
        <v>45</v>
      </c>
      <c r="E203" t="s">
        <v>35</v>
      </c>
      <c r="F203" t="s">
        <v>35</v>
      </c>
      <c r="G203" t="s">
        <v>34</v>
      </c>
      <c r="H203" s="5">
        <v>11047772</v>
      </c>
      <c r="I203" s="4">
        <f t="shared" si="90"/>
        <v>45928</v>
      </c>
      <c r="J203" t="s">
        <v>54</v>
      </c>
      <c r="K203" s="10"/>
      <c r="L203" s="7">
        <v>4.4600000000000001E-2</v>
      </c>
      <c r="M203" s="8">
        <v>6</v>
      </c>
      <c r="N203">
        <f t="shared" si="83"/>
        <v>2025</v>
      </c>
      <c r="O203" s="8">
        <f t="shared" si="84"/>
        <v>66286632</v>
      </c>
      <c r="P203" s="9">
        <f t="shared" si="85"/>
        <v>492730.6312</v>
      </c>
      <c r="Q203" s="5">
        <f t="shared" si="86"/>
        <v>492730.6312</v>
      </c>
      <c r="R203" s="5">
        <f t="shared" si="87"/>
        <v>123182.6578</v>
      </c>
      <c r="S203" s="8">
        <f t="shared" si="88"/>
        <v>4.6563256258301662</v>
      </c>
      <c r="T203" s="7">
        <f t="shared" si="89"/>
        <v>5.7957764759556364E-2</v>
      </c>
    </row>
    <row r="204" spans="1:20" hidden="1" x14ac:dyDescent="0.25">
      <c r="A204" t="str">
        <f t="shared" si="80"/>
        <v>43738PPE</v>
      </c>
      <c r="B204" t="str">
        <f t="shared" si="81"/>
        <v>43738BRF</v>
      </c>
      <c r="C204" s="4">
        <v>43738</v>
      </c>
      <c r="D204" t="s">
        <v>45</v>
      </c>
      <c r="E204" t="s">
        <v>28</v>
      </c>
      <c r="F204" t="s">
        <v>36</v>
      </c>
      <c r="G204" t="s">
        <v>34</v>
      </c>
      <c r="H204" s="5">
        <v>427138</v>
      </c>
      <c r="I204" s="4">
        <f t="shared" si="90"/>
        <v>45015.5</v>
      </c>
      <c r="J204" t="s">
        <v>55</v>
      </c>
      <c r="K204" s="10"/>
      <c r="L204" s="7">
        <v>5.5399999999999998E-2</v>
      </c>
      <c r="M204" s="8">
        <v>3.5</v>
      </c>
      <c r="N204">
        <f t="shared" si="83"/>
        <v>2023</v>
      </c>
      <c r="O204" s="8">
        <f t="shared" si="84"/>
        <v>1494983</v>
      </c>
      <c r="P204" s="9">
        <f t="shared" si="85"/>
        <v>23663.445199999998</v>
      </c>
      <c r="Q204" s="5">
        <f t="shared" si="86"/>
        <v>23663.445199999998</v>
      </c>
      <c r="R204" s="5">
        <f t="shared" si="87"/>
        <v>5915.8612999999996</v>
      </c>
      <c r="S204" s="8">
        <f t="shared" si="88"/>
        <v>4.6563256258301662</v>
      </c>
      <c r="T204" s="7">
        <f t="shared" si="89"/>
        <v>5.7957764759556364E-2</v>
      </c>
    </row>
    <row r="205" spans="1:20" hidden="1" x14ac:dyDescent="0.25">
      <c r="A205" t="str">
        <f t="shared" si="80"/>
        <v>43738ACC</v>
      </c>
      <c r="B205" t="str">
        <f t="shared" si="81"/>
        <v>43738BRF</v>
      </c>
      <c r="C205" s="4">
        <v>43738</v>
      </c>
      <c r="D205" t="s">
        <v>45</v>
      </c>
      <c r="E205" t="s">
        <v>33</v>
      </c>
      <c r="F205" t="s">
        <v>33</v>
      </c>
      <c r="G205" t="s">
        <v>34</v>
      </c>
      <c r="H205" s="5">
        <v>345681</v>
      </c>
      <c r="I205" s="4">
        <f t="shared" si="90"/>
        <v>43811</v>
      </c>
      <c r="J205" t="s">
        <v>55</v>
      </c>
      <c r="K205" s="10"/>
      <c r="L205" s="7">
        <v>4.7399999999999998E-2</v>
      </c>
      <c r="M205" s="8">
        <v>0.2</v>
      </c>
      <c r="N205">
        <f t="shared" si="83"/>
        <v>2019</v>
      </c>
      <c r="O205" s="8">
        <f t="shared" si="84"/>
        <v>69136.2</v>
      </c>
      <c r="P205" s="9">
        <f t="shared" si="85"/>
        <v>16385.279399999999</v>
      </c>
      <c r="Q205" s="5">
        <f t="shared" si="86"/>
        <v>16385.279399999999</v>
      </c>
      <c r="R205" s="5">
        <f t="shared" si="87"/>
        <v>4096.3198499999999</v>
      </c>
      <c r="S205" s="8">
        <f t="shared" si="88"/>
        <v>4.6563256258301662</v>
      </c>
      <c r="T205" s="7">
        <f t="shared" si="89"/>
        <v>5.7957764759556364E-2</v>
      </c>
    </row>
    <row r="206" spans="1:20" hidden="1" x14ac:dyDescent="0.25">
      <c r="A206" t="str">
        <f t="shared" si="80"/>
        <v>43738KG</v>
      </c>
      <c r="B206" t="str">
        <f t="shared" si="81"/>
        <v>43738BRF</v>
      </c>
      <c r="C206" s="4">
        <v>43738</v>
      </c>
      <c r="D206" t="s">
        <v>45</v>
      </c>
      <c r="E206" t="s">
        <v>28</v>
      </c>
      <c r="F206" t="s">
        <v>46</v>
      </c>
      <c r="G206" t="s">
        <v>56</v>
      </c>
      <c r="H206" s="13">
        <v>201709</v>
      </c>
      <c r="I206" s="4">
        <f t="shared" si="90"/>
        <v>44212.5</v>
      </c>
      <c r="J206" t="s">
        <v>54</v>
      </c>
      <c r="K206" s="10"/>
      <c r="L206" s="14">
        <v>0.1757</v>
      </c>
      <c r="M206" s="8">
        <v>1.3</v>
      </c>
      <c r="N206">
        <f t="shared" si="83"/>
        <v>2021</v>
      </c>
      <c r="O206" s="8">
        <f t="shared" si="84"/>
        <v>262221.7</v>
      </c>
      <c r="P206" s="9">
        <f t="shared" si="85"/>
        <v>35440.2713</v>
      </c>
      <c r="Q206" s="5">
        <f t="shared" si="86"/>
        <v>35440.2713</v>
      </c>
      <c r="R206" s="5">
        <f t="shared" si="87"/>
        <v>8860.0678250000001</v>
      </c>
      <c r="S206" s="8">
        <f t="shared" si="88"/>
        <v>4.6563256258301662</v>
      </c>
      <c r="T206" s="7">
        <f t="shared" si="89"/>
        <v>5.7957764759556364E-2</v>
      </c>
    </row>
    <row r="207" spans="1:20" hidden="1" x14ac:dyDescent="0.25">
      <c r="A207" t="str">
        <f t="shared" si="80"/>
        <v>43738Derivativo</v>
      </c>
      <c r="B207" t="str">
        <f t="shared" si="81"/>
        <v>43738BRF</v>
      </c>
      <c r="C207" s="4">
        <v>43738</v>
      </c>
      <c r="D207" t="s">
        <v>45</v>
      </c>
      <c r="E207" t="s">
        <v>28</v>
      </c>
      <c r="F207" t="s">
        <v>57</v>
      </c>
      <c r="G207" t="s">
        <v>23</v>
      </c>
      <c r="I207" s="4">
        <f t="shared" si="90"/>
        <v>43738</v>
      </c>
      <c r="N207">
        <f t="shared" si="83"/>
        <v>2019</v>
      </c>
      <c r="O207" s="8">
        <f t="shared" si="84"/>
        <v>0</v>
      </c>
      <c r="P207" s="9">
        <f t="shared" si="85"/>
        <v>0</v>
      </c>
      <c r="Q207" s="5">
        <f t="shared" si="86"/>
        <v>0</v>
      </c>
      <c r="R207" s="5">
        <f t="shared" si="87"/>
        <v>0</v>
      </c>
      <c r="S207" s="8">
        <f t="shared" si="88"/>
        <v>4.6563256258301662</v>
      </c>
      <c r="T207" s="14">
        <f t="shared" si="89"/>
        <v>5.7957764759556364E-2</v>
      </c>
    </row>
    <row r="208" spans="1:20" hidden="1" x14ac:dyDescent="0.25"/>
    <row r="209" spans="1:20" hidden="1" x14ac:dyDescent="0.25">
      <c r="A209" t="str">
        <f t="shared" ref="A209:A220" si="91">C209&amp;F209</f>
        <v>43646KG</v>
      </c>
      <c r="B209" t="str">
        <f t="shared" ref="B209:B220" si="92">C209&amp;D209</f>
        <v>43646BRF</v>
      </c>
      <c r="C209" s="4">
        <v>43646</v>
      </c>
      <c r="D209" t="s">
        <v>45</v>
      </c>
      <c r="E209" t="s">
        <v>46</v>
      </c>
      <c r="F209" t="s">
        <v>46</v>
      </c>
      <c r="G209" t="s">
        <v>23</v>
      </c>
      <c r="H209" s="5">
        <v>5888723</v>
      </c>
      <c r="I209" s="4">
        <f t="shared" ref="I209" si="93">C209+M209*365</f>
        <v>44157</v>
      </c>
      <c r="J209" t="s">
        <v>47</v>
      </c>
      <c r="K209" s="12"/>
      <c r="L209" s="7">
        <v>7.9600000000000004E-2</v>
      </c>
      <c r="M209" s="8">
        <v>1.4</v>
      </c>
      <c r="N209">
        <f t="shared" ref="N209:N220" si="94">YEAR(I209)</f>
        <v>2020</v>
      </c>
      <c r="O209" s="8">
        <f t="shared" ref="O209:O220" si="95">M209*H209</f>
        <v>8244212.1999999993</v>
      </c>
      <c r="P209" s="9">
        <f t="shared" ref="P209:P220" si="96">L209*H209</f>
        <v>468742.35080000001</v>
      </c>
      <c r="Q209" s="5">
        <f t="shared" ref="Q209:Q220" si="97">H209*L209</f>
        <v>468742.35080000001</v>
      </c>
      <c r="R209" s="5">
        <f t="shared" ref="R209:R220" si="98">Q209/4</f>
        <v>117185.5877</v>
      </c>
      <c r="S209" s="8">
        <f t="shared" ref="S209:S220" si="99">SUMIFS($O:$O,$C:$C,$C209,$D:$D,D209)/SUMIFS($H:$H,$C:$C,$C209,$D:$D,D209)</f>
        <v>3.3400776303821966</v>
      </c>
      <c r="T209" s="7">
        <f t="shared" ref="T209:T220" si="100">SUMIFS($P:$P,$C:$C,$C209,$D:$D,D209)/SUMIFS($H:$H,$C:$C,$C209,$D:$D,D209)</f>
        <v>6.4765678482197164E-2</v>
      </c>
    </row>
    <row r="210" spans="1:20" hidden="1" x14ac:dyDescent="0.25">
      <c r="A210" t="str">
        <f t="shared" si="91"/>
        <v>43646CRA</v>
      </c>
      <c r="B210" t="str">
        <f t="shared" si="92"/>
        <v>43646BRF</v>
      </c>
      <c r="C210" s="4">
        <v>43646</v>
      </c>
      <c r="D210" t="s">
        <v>45</v>
      </c>
      <c r="E210" t="s">
        <v>48</v>
      </c>
      <c r="F210" t="s">
        <v>48</v>
      </c>
      <c r="G210" t="s">
        <v>23</v>
      </c>
      <c r="H210" s="5">
        <v>1635959</v>
      </c>
      <c r="I210" s="4">
        <f>C210+M210*365</f>
        <v>44741</v>
      </c>
      <c r="J210" t="s">
        <v>49</v>
      </c>
      <c r="K210" s="10"/>
      <c r="L210" s="7">
        <v>8.4099999999999994E-2</v>
      </c>
      <c r="M210" s="8">
        <v>3</v>
      </c>
      <c r="N210">
        <f t="shared" si="94"/>
        <v>2022</v>
      </c>
      <c r="O210" s="8">
        <f t="shared" si="95"/>
        <v>4907877</v>
      </c>
      <c r="P210" s="9">
        <f t="shared" si="96"/>
        <v>137584.1519</v>
      </c>
      <c r="Q210" s="5">
        <f t="shared" si="97"/>
        <v>137584.1519</v>
      </c>
      <c r="R210" s="5">
        <f t="shared" si="98"/>
        <v>34396.037974999999</v>
      </c>
      <c r="S210" s="8">
        <f t="shared" si="99"/>
        <v>3.3400776303821966</v>
      </c>
      <c r="T210" s="7">
        <f t="shared" si="100"/>
        <v>6.4765678482197164E-2</v>
      </c>
    </row>
    <row r="211" spans="1:20" hidden="1" x14ac:dyDescent="0.25">
      <c r="A211" t="str">
        <f t="shared" si="91"/>
        <v>43646Fomento</v>
      </c>
      <c r="B211" t="str">
        <f t="shared" si="92"/>
        <v>43646BRF</v>
      </c>
      <c r="C211" s="4">
        <v>43646</v>
      </c>
      <c r="D211" t="s">
        <v>45</v>
      </c>
      <c r="E211" t="s">
        <v>28</v>
      </c>
      <c r="F211" t="s">
        <v>50</v>
      </c>
      <c r="G211" t="s">
        <v>23</v>
      </c>
      <c r="H211" s="5">
        <v>132006</v>
      </c>
      <c r="I211" s="4">
        <f t="shared" ref="I211:I220" si="101">C211+M211*365</f>
        <v>43901.5</v>
      </c>
      <c r="J211" t="s">
        <v>51</v>
      </c>
      <c r="K211" s="10"/>
      <c r="L211" s="10">
        <v>6.2100000000000002E-2</v>
      </c>
      <c r="M211" s="8">
        <v>0.7</v>
      </c>
      <c r="N211">
        <f t="shared" si="94"/>
        <v>2020</v>
      </c>
      <c r="O211" s="8">
        <f t="shared" si="95"/>
        <v>92404.2</v>
      </c>
      <c r="P211" s="9">
        <f t="shared" si="96"/>
        <v>8197.5725999999995</v>
      </c>
      <c r="Q211" s="5">
        <f t="shared" si="97"/>
        <v>8197.5725999999995</v>
      </c>
      <c r="R211" s="5">
        <f t="shared" si="98"/>
        <v>2049.3931499999999</v>
      </c>
      <c r="S211" s="8">
        <f t="shared" si="99"/>
        <v>3.3400776303821966</v>
      </c>
      <c r="T211" s="7">
        <f t="shared" si="100"/>
        <v>6.4765678482197164E-2</v>
      </c>
    </row>
    <row r="212" spans="1:20" hidden="1" x14ac:dyDescent="0.25">
      <c r="A212" t="str">
        <f t="shared" si="91"/>
        <v>43646Debentures</v>
      </c>
      <c r="B212" t="str">
        <f t="shared" si="92"/>
        <v>43646BRF</v>
      </c>
      <c r="C212" s="4">
        <v>43646</v>
      </c>
      <c r="D212" t="s">
        <v>45</v>
      </c>
      <c r="E212" t="s">
        <v>52</v>
      </c>
      <c r="F212" t="s">
        <v>52</v>
      </c>
      <c r="G212" t="s">
        <v>23</v>
      </c>
      <c r="H212" s="5">
        <v>745395</v>
      </c>
      <c r="I212" s="4">
        <f t="shared" si="101"/>
        <v>46018.5</v>
      </c>
      <c r="J212" t="s">
        <v>49</v>
      </c>
      <c r="K212" s="10"/>
      <c r="L212" s="7">
        <v>9.06E-2</v>
      </c>
      <c r="M212" s="8">
        <v>6.5</v>
      </c>
      <c r="N212">
        <f t="shared" si="94"/>
        <v>2025</v>
      </c>
      <c r="O212" s="8">
        <f t="shared" si="95"/>
        <v>4845067.5</v>
      </c>
      <c r="P212" s="9">
        <f t="shared" si="96"/>
        <v>67532.786999999997</v>
      </c>
      <c r="Q212" s="5">
        <f t="shared" si="97"/>
        <v>67532.786999999997</v>
      </c>
      <c r="R212" s="5">
        <f t="shared" si="98"/>
        <v>16883.196749999999</v>
      </c>
      <c r="S212" s="8">
        <f t="shared" si="99"/>
        <v>3.3400776303821966</v>
      </c>
      <c r="T212" s="7">
        <f t="shared" si="100"/>
        <v>6.4765678482197164E-2</v>
      </c>
    </row>
    <row r="213" spans="1:20" hidden="1" x14ac:dyDescent="0.25">
      <c r="A213" t="str">
        <f t="shared" si="91"/>
        <v>43646NCE</v>
      </c>
      <c r="B213" t="str">
        <f t="shared" si="92"/>
        <v>43646BRF</v>
      </c>
      <c r="C213" s="4">
        <v>43646</v>
      </c>
      <c r="D213" t="s">
        <v>45</v>
      </c>
      <c r="E213" t="s">
        <v>31</v>
      </c>
      <c r="F213" t="s">
        <v>31</v>
      </c>
      <c r="G213" t="s">
        <v>23</v>
      </c>
      <c r="H213" s="5">
        <v>1590124</v>
      </c>
      <c r="I213" s="4">
        <f t="shared" si="101"/>
        <v>45069.5</v>
      </c>
      <c r="J213" t="s">
        <v>24</v>
      </c>
      <c r="K213" s="10"/>
      <c r="L213" s="7">
        <v>9.0399999999999994E-2</v>
      </c>
      <c r="M213" s="8">
        <v>3.9</v>
      </c>
      <c r="N213">
        <f t="shared" si="94"/>
        <v>2023</v>
      </c>
      <c r="O213" s="8">
        <f t="shared" si="95"/>
        <v>6201483.5999999996</v>
      </c>
      <c r="P213" s="9">
        <f t="shared" si="96"/>
        <v>143747.2096</v>
      </c>
      <c r="Q213" s="5">
        <f t="shared" si="97"/>
        <v>143747.2096</v>
      </c>
      <c r="R213" s="5">
        <f t="shared" si="98"/>
        <v>35936.8024</v>
      </c>
      <c r="S213" s="8">
        <f t="shared" si="99"/>
        <v>3.3400776303821966</v>
      </c>
      <c r="T213" s="7">
        <f t="shared" si="100"/>
        <v>6.4765678482197164E-2</v>
      </c>
    </row>
    <row r="214" spans="1:20" hidden="1" x14ac:dyDescent="0.25">
      <c r="A214" t="str">
        <f t="shared" si="91"/>
        <v>43646PESA</v>
      </c>
      <c r="B214" t="str">
        <f t="shared" si="92"/>
        <v>43646BRF</v>
      </c>
      <c r="C214" s="4">
        <v>43646</v>
      </c>
      <c r="D214" t="s">
        <v>45</v>
      </c>
      <c r="E214" t="s">
        <v>28</v>
      </c>
      <c r="F214" t="s">
        <v>58</v>
      </c>
      <c r="G214" t="s">
        <v>23</v>
      </c>
      <c r="H214" s="5">
        <v>278208</v>
      </c>
      <c r="I214" s="4">
        <f t="shared" si="101"/>
        <v>43901.5</v>
      </c>
      <c r="J214" t="s">
        <v>59</v>
      </c>
      <c r="K214" s="10"/>
      <c r="L214" s="7">
        <v>0.1143</v>
      </c>
      <c r="M214" s="8">
        <v>0.7</v>
      </c>
      <c r="N214">
        <f t="shared" si="94"/>
        <v>2020</v>
      </c>
      <c r="O214" s="8">
        <f t="shared" si="95"/>
        <v>194745.59999999998</v>
      </c>
      <c r="P214" s="9">
        <f t="shared" si="96"/>
        <v>31799.1744</v>
      </c>
      <c r="Q214" s="5">
        <f t="shared" si="97"/>
        <v>31799.1744</v>
      </c>
      <c r="R214" s="5">
        <f t="shared" si="98"/>
        <v>7949.7936</v>
      </c>
      <c r="S214" s="8">
        <f t="shared" si="99"/>
        <v>3.3400776303821966</v>
      </c>
      <c r="T214" s="7">
        <f t="shared" si="100"/>
        <v>6.4765678482197164E-2</v>
      </c>
    </row>
    <row r="215" spans="1:20" hidden="1" x14ac:dyDescent="0.25">
      <c r="A215" t="str">
        <f t="shared" si="91"/>
        <v>43646Incentivos Fiscais</v>
      </c>
      <c r="B215" t="str">
        <f t="shared" si="92"/>
        <v>43646BRF</v>
      </c>
      <c r="C215" s="4">
        <v>43646</v>
      </c>
      <c r="D215" t="s">
        <v>45</v>
      </c>
      <c r="E215" t="s">
        <v>28</v>
      </c>
      <c r="F215" t="s">
        <v>53</v>
      </c>
      <c r="G215" t="s">
        <v>23</v>
      </c>
      <c r="H215" s="5">
        <v>7073</v>
      </c>
      <c r="I215" s="4">
        <f t="shared" si="101"/>
        <v>43682.5</v>
      </c>
      <c r="J215" t="s">
        <v>54</v>
      </c>
      <c r="K215" s="10"/>
      <c r="L215" s="7">
        <v>2.4E-2</v>
      </c>
      <c r="M215" s="8">
        <v>0.1</v>
      </c>
      <c r="N215">
        <f t="shared" si="94"/>
        <v>2019</v>
      </c>
      <c r="O215" s="8">
        <f t="shared" si="95"/>
        <v>707.30000000000007</v>
      </c>
      <c r="P215" s="9">
        <f t="shared" si="96"/>
        <v>169.75200000000001</v>
      </c>
      <c r="Q215" s="5">
        <f t="shared" si="97"/>
        <v>169.75200000000001</v>
      </c>
      <c r="R215" s="5">
        <f t="shared" si="98"/>
        <v>42.438000000000002</v>
      </c>
      <c r="S215" s="8">
        <f t="shared" si="99"/>
        <v>3.3400776303821966</v>
      </c>
      <c r="T215" s="7">
        <f t="shared" si="100"/>
        <v>6.4765678482197164E-2</v>
      </c>
    </row>
    <row r="216" spans="1:20" hidden="1" x14ac:dyDescent="0.25">
      <c r="A216" t="str">
        <f t="shared" si="91"/>
        <v>43646Bond</v>
      </c>
      <c r="B216" t="str">
        <f t="shared" si="92"/>
        <v>43646BRF</v>
      </c>
      <c r="C216" s="4">
        <v>43646</v>
      </c>
      <c r="D216" t="s">
        <v>45</v>
      </c>
      <c r="E216" t="s">
        <v>35</v>
      </c>
      <c r="F216" t="s">
        <v>35</v>
      </c>
      <c r="G216" t="s">
        <v>34</v>
      </c>
      <c r="H216" s="5">
        <v>9603686</v>
      </c>
      <c r="I216" s="4">
        <f t="shared" si="101"/>
        <v>45288.5</v>
      </c>
      <c r="J216" t="s">
        <v>54</v>
      </c>
      <c r="K216" s="10"/>
      <c r="L216" s="7">
        <v>4.2200000000000001E-2</v>
      </c>
      <c r="M216" s="8">
        <v>4.5</v>
      </c>
      <c r="N216">
        <f t="shared" si="94"/>
        <v>2023</v>
      </c>
      <c r="O216" s="8">
        <f t="shared" si="95"/>
        <v>43216587</v>
      </c>
      <c r="P216" s="9">
        <f t="shared" si="96"/>
        <v>405275.54920000001</v>
      </c>
      <c r="Q216" s="5">
        <f t="shared" si="97"/>
        <v>405275.54920000001</v>
      </c>
      <c r="R216" s="5">
        <f t="shared" si="98"/>
        <v>101318.8873</v>
      </c>
      <c r="S216" s="8">
        <f t="shared" si="99"/>
        <v>3.3400776303821966</v>
      </c>
      <c r="T216" s="7">
        <f t="shared" si="100"/>
        <v>6.4765678482197164E-2</v>
      </c>
    </row>
    <row r="217" spans="1:20" hidden="1" x14ac:dyDescent="0.25">
      <c r="A217" t="str">
        <f t="shared" si="91"/>
        <v>43646PPE</v>
      </c>
      <c r="B217" t="str">
        <f t="shared" si="92"/>
        <v>43646BRF</v>
      </c>
      <c r="C217" s="4">
        <v>43646</v>
      </c>
      <c r="D217" t="s">
        <v>45</v>
      </c>
      <c r="E217" t="s">
        <v>28</v>
      </c>
      <c r="F217" t="s">
        <v>36</v>
      </c>
      <c r="G217" t="s">
        <v>34</v>
      </c>
      <c r="H217" s="5">
        <v>383815</v>
      </c>
      <c r="I217" s="4">
        <f t="shared" si="101"/>
        <v>44996.5</v>
      </c>
      <c r="J217" t="s">
        <v>55</v>
      </c>
      <c r="K217" s="10"/>
      <c r="L217" s="7">
        <v>5.5399999999999998E-2</v>
      </c>
      <c r="M217" s="8">
        <v>3.7</v>
      </c>
      <c r="N217">
        <f t="shared" si="94"/>
        <v>2023</v>
      </c>
      <c r="O217" s="8">
        <f t="shared" si="95"/>
        <v>1420115.5</v>
      </c>
      <c r="P217" s="9">
        <f t="shared" si="96"/>
        <v>21263.350999999999</v>
      </c>
      <c r="Q217" s="5">
        <f t="shared" si="97"/>
        <v>21263.350999999999</v>
      </c>
      <c r="R217" s="5">
        <f t="shared" si="98"/>
        <v>5315.8377499999997</v>
      </c>
      <c r="S217" s="8">
        <f t="shared" si="99"/>
        <v>3.3400776303821966</v>
      </c>
      <c r="T217" s="7">
        <f t="shared" si="100"/>
        <v>6.4765678482197164E-2</v>
      </c>
    </row>
    <row r="218" spans="1:20" hidden="1" x14ac:dyDescent="0.25">
      <c r="A218" t="str">
        <f t="shared" si="91"/>
        <v>43646ACC</v>
      </c>
      <c r="B218" t="str">
        <f t="shared" si="92"/>
        <v>43646BRF</v>
      </c>
      <c r="C218" s="4">
        <v>43646</v>
      </c>
      <c r="D218" t="s">
        <v>45</v>
      </c>
      <c r="E218" t="s">
        <v>33</v>
      </c>
      <c r="F218" t="s">
        <v>33</v>
      </c>
      <c r="G218" t="s">
        <v>34</v>
      </c>
      <c r="H218" s="5">
        <v>314391</v>
      </c>
      <c r="I218" s="4">
        <f t="shared" si="101"/>
        <v>43792</v>
      </c>
      <c r="J218" t="s">
        <v>55</v>
      </c>
      <c r="K218" s="10"/>
      <c r="L218" s="7">
        <v>4.7399999999999998E-2</v>
      </c>
      <c r="M218" s="8">
        <v>0.4</v>
      </c>
      <c r="N218">
        <f t="shared" si="94"/>
        <v>2019</v>
      </c>
      <c r="O218" s="8">
        <f t="shared" si="95"/>
        <v>125756.40000000001</v>
      </c>
      <c r="P218" s="9">
        <f t="shared" si="96"/>
        <v>14902.133399999999</v>
      </c>
      <c r="Q218" s="5">
        <f t="shared" si="97"/>
        <v>14902.133399999999</v>
      </c>
      <c r="R218" s="5">
        <f t="shared" si="98"/>
        <v>3725.5333499999997</v>
      </c>
      <c r="S218" s="8">
        <f t="shared" si="99"/>
        <v>3.3400776303821966</v>
      </c>
      <c r="T218" s="7">
        <f t="shared" si="100"/>
        <v>6.4765678482197164E-2</v>
      </c>
    </row>
    <row r="219" spans="1:20" hidden="1" x14ac:dyDescent="0.25">
      <c r="A219" t="str">
        <f t="shared" si="91"/>
        <v>43646KG</v>
      </c>
      <c r="B219" t="str">
        <f t="shared" si="92"/>
        <v>43646BRF</v>
      </c>
      <c r="C219" s="4">
        <v>43646</v>
      </c>
      <c r="D219" t="s">
        <v>45</v>
      </c>
      <c r="E219" t="s">
        <v>28</v>
      </c>
      <c r="F219" t="s">
        <v>46</v>
      </c>
      <c r="G219" t="s">
        <v>56</v>
      </c>
      <c r="H219" s="13">
        <v>201659</v>
      </c>
      <c r="I219" s="4">
        <f t="shared" si="101"/>
        <v>43938</v>
      </c>
      <c r="J219" t="s">
        <v>54</v>
      </c>
      <c r="K219" s="10"/>
      <c r="L219" s="14">
        <v>0.23150000000000001</v>
      </c>
      <c r="M219" s="8">
        <v>0.8</v>
      </c>
      <c r="N219">
        <f t="shared" si="94"/>
        <v>2020</v>
      </c>
      <c r="O219" s="8">
        <f t="shared" si="95"/>
        <v>161327.20000000001</v>
      </c>
      <c r="P219" s="9">
        <f t="shared" si="96"/>
        <v>46684.058499999999</v>
      </c>
      <c r="Q219" s="5">
        <f t="shared" si="97"/>
        <v>46684.058499999999</v>
      </c>
      <c r="R219" s="5">
        <f t="shared" si="98"/>
        <v>11671.014625</v>
      </c>
      <c r="S219" s="8">
        <f t="shared" si="99"/>
        <v>3.3400776303821966</v>
      </c>
      <c r="T219" s="7">
        <f t="shared" si="100"/>
        <v>6.4765678482197164E-2</v>
      </c>
    </row>
    <row r="220" spans="1:20" hidden="1" x14ac:dyDescent="0.25">
      <c r="A220" t="str">
        <f t="shared" si="91"/>
        <v>43646Derivativo</v>
      </c>
      <c r="B220" t="str">
        <f t="shared" si="92"/>
        <v>43646BRF</v>
      </c>
      <c r="C220" s="4">
        <v>43646</v>
      </c>
      <c r="D220" t="s">
        <v>45</v>
      </c>
      <c r="E220" t="s">
        <v>28</v>
      </c>
      <c r="F220" t="s">
        <v>57</v>
      </c>
      <c r="G220" t="s">
        <v>23</v>
      </c>
      <c r="I220" s="4">
        <f t="shared" si="101"/>
        <v>43646</v>
      </c>
      <c r="N220">
        <f t="shared" si="94"/>
        <v>2019</v>
      </c>
      <c r="O220" s="8">
        <f t="shared" si="95"/>
        <v>0</v>
      </c>
      <c r="P220" s="9">
        <f t="shared" si="96"/>
        <v>0</v>
      </c>
      <c r="Q220" s="5">
        <f t="shared" si="97"/>
        <v>0</v>
      </c>
      <c r="R220" s="5">
        <f t="shared" si="98"/>
        <v>0</v>
      </c>
      <c r="S220" s="8">
        <f t="shared" si="99"/>
        <v>3.3400776303821966</v>
      </c>
      <c r="T220" s="14">
        <f t="shared" si="100"/>
        <v>6.4765678482197164E-2</v>
      </c>
    </row>
    <row r="221" spans="1:20" hidden="1" x14ac:dyDescent="0.25"/>
    <row r="222" spans="1:20" hidden="1" x14ac:dyDescent="0.25">
      <c r="A222" t="str">
        <f t="shared" ref="A222:A233" si="102">C222&amp;F222</f>
        <v>43555KG</v>
      </c>
      <c r="B222" t="str">
        <f t="shared" ref="B222:B233" si="103">C222&amp;D222</f>
        <v>43555BRF</v>
      </c>
      <c r="C222" s="4">
        <v>43555</v>
      </c>
      <c r="D222" t="s">
        <v>45</v>
      </c>
      <c r="E222" t="s">
        <v>46</v>
      </c>
      <c r="F222" t="s">
        <v>46</v>
      </c>
      <c r="G222" t="s">
        <v>23</v>
      </c>
      <c r="H222" s="5">
        <v>5893402</v>
      </c>
      <c r="I222" s="4">
        <f>C222+365*M222</f>
        <v>44139</v>
      </c>
      <c r="J222" t="s">
        <v>47</v>
      </c>
      <c r="K222" s="12"/>
      <c r="L222" s="7">
        <v>7.9500000000000001E-2</v>
      </c>
      <c r="M222" s="8">
        <v>1.6</v>
      </c>
      <c r="N222">
        <f t="shared" ref="N222:N233" si="104">YEAR(I222)</f>
        <v>2020</v>
      </c>
      <c r="O222" s="8">
        <f t="shared" ref="O222:O233" si="105">M222*H222</f>
        <v>9429443.2000000011</v>
      </c>
      <c r="P222" s="9">
        <f t="shared" ref="P222:P233" si="106">L222*H222</f>
        <v>468525.45900000003</v>
      </c>
      <c r="Q222" s="5">
        <f t="shared" ref="Q222:Q233" si="107">H222*L222</f>
        <v>468525.45900000003</v>
      </c>
      <c r="R222" s="5">
        <f t="shared" ref="R222:R233" si="108">Q222/4</f>
        <v>117131.36475000001</v>
      </c>
      <c r="S222" s="8">
        <f t="shared" ref="S222:S233" si="109">SUMIFS($O:$O,$C:$C,$C222,$D:$D,D222)/SUMIFS($H:$H,$C:$C,$C222,$D:$D,D222)</f>
        <v>3.1665007018357261</v>
      </c>
      <c r="T222" s="7">
        <f t="shared" ref="T222:T233" si="110">SUMIFS($P:$P,$C:$C,$C222,$D:$D,D222)/SUMIFS($H:$H,$C:$C,$C222,$D:$D,D222)</f>
        <v>6.0912983313386154E-2</v>
      </c>
    </row>
    <row r="223" spans="1:20" hidden="1" x14ac:dyDescent="0.25">
      <c r="A223" t="str">
        <f t="shared" si="102"/>
        <v>43555CRA</v>
      </c>
      <c r="B223" t="str">
        <f t="shared" si="103"/>
        <v>43555BRF</v>
      </c>
      <c r="C223" s="4">
        <v>43555</v>
      </c>
      <c r="D223" t="s">
        <v>45</v>
      </c>
      <c r="E223" t="s">
        <v>48</v>
      </c>
      <c r="F223" t="s">
        <v>48</v>
      </c>
      <c r="G223" t="s">
        <v>23</v>
      </c>
      <c r="H223" s="5">
        <v>2641043</v>
      </c>
      <c r="I223" s="4">
        <f t="shared" ref="I223:I233" si="111">C223+365*M223</f>
        <v>44248.5</v>
      </c>
      <c r="J223" t="s">
        <v>49</v>
      </c>
      <c r="K223" s="10"/>
      <c r="L223" s="7">
        <v>6.0600000000000001E-2</v>
      </c>
      <c r="M223" s="8">
        <v>1.9</v>
      </c>
      <c r="N223">
        <f t="shared" si="104"/>
        <v>2021</v>
      </c>
      <c r="O223" s="8">
        <f t="shared" si="105"/>
        <v>5017981.7</v>
      </c>
      <c r="P223" s="9">
        <f t="shared" si="106"/>
        <v>160047.2058</v>
      </c>
      <c r="Q223" s="5">
        <f t="shared" si="107"/>
        <v>160047.2058</v>
      </c>
      <c r="R223" s="5">
        <f t="shared" si="108"/>
        <v>40011.801449999999</v>
      </c>
      <c r="S223" s="8">
        <f t="shared" si="109"/>
        <v>3.1665007018357261</v>
      </c>
      <c r="T223" s="7">
        <f t="shared" si="110"/>
        <v>6.0912983313386154E-2</v>
      </c>
    </row>
    <row r="224" spans="1:20" hidden="1" x14ac:dyDescent="0.25">
      <c r="A224" t="str">
        <f t="shared" si="102"/>
        <v>43555Fomento</v>
      </c>
      <c r="B224" t="str">
        <f t="shared" si="103"/>
        <v>43555BRF</v>
      </c>
      <c r="C224" s="4">
        <v>43555</v>
      </c>
      <c r="D224" t="s">
        <v>45</v>
      </c>
      <c r="E224" t="s">
        <v>28</v>
      </c>
      <c r="F224" t="s">
        <v>50</v>
      </c>
      <c r="G224" t="s">
        <v>23</v>
      </c>
      <c r="H224" s="5">
        <v>188242</v>
      </c>
      <c r="I224" s="4">
        <f t="shared" si="111"/>
        <v>43883.5</v>
      </c>
      <c r="J224" t="s">
        <v>51</v>
      </c>
      <c r="K224" s="10"/>
      <c r="L224" s="10">
        <v>6.1400000000000003E-2</v>
      </c>
      <c r="M224" s="8">
        <v>0.9</v>
      </c>
      <c r="N224">
        <f t="shared" si="104"/>
        <v>2020</v>
      </c>
      <c r="O224" s="8">
        <f t="shared" si="105"/>
        <v>169417.80000000002</v>
      </c>
      <c r="P224" s="9">
        <f t="shared" si="106"/>
        <v>11558.058800000001</v>
      </c>
      <c r="Q224" s="5">
        <f t="shared" si="107"/>
        <v>11558.058800000001</v>
      </c>
      <c r="R224" s="5">
        <f t="shared" si="108"/>
        <v>2889.5147000000002</v>
      </c>
      <c r="S224" s="8">
        <f t="shared" si="109"/>
        <v>3.1665007018357261</v>
      </c>
      <c r="T224" s="7">
        <f t="shared" si="110"/>
        <v>6.0912983313386154E-2</v>
      </c>
    </row>
    <row r="225" spans="1:20" hidden="1" x14ac:dyDescent="0.25">
      <c r="A225" t="str">
        <f t="shared" si="102"/>
        <v>43555Debentures</v>
      </c>
      <c r="B225" t="str">
        <f t="shared" si="103"/>
        <v>43555BRF</v>
      </c>
      <c r="C225" s="4">
        <v>43555</v>
      </c>
      <c r="D225" t="s">
        <v>45</v>
      </c>
      <c r="E225" t="s">
        <v>52</v>
      </c>
      <c r="F225" t="s">
        <v>52</v>
      </c>
      <c r="G225" t="s">
        <v>23</v>
      </c>
      <c r="H225" s="5">
        <v>0</v>
      </c>
      <c r="I225" s="4">
        <f t="shared" si="111"/>
        <v>43555</v>
      </c>
      <c r="J225" t="s">
        <v>49</v>
      </c>
      <c r="K225" s="10"/>
      <c r="L225" s="7">
        <v>0</v>
      </c>
      <c r="M225" s="8">
        <v>0</v>
      </c>
      <c r="N225">
        <f t="shared" si="104"/>
        <v>2019</v>
      </c>
      <c r="O225" s="8">
        <f t="shared" si="105"/>
        <v>0</v>
      </c>
      <c r="P225" s="9">
        <f t="shared" si="106"/>
        <v>0</v>
      </c>
      <c r="Q225" s="5">
        <f t="shared" si="107"/>
        <v>0</v>
      </c>
      <c r="R225" s="5">
        <f t="shared" si="108"/>
        <v>0</v>
      </c>
      <c r="S225" s="8">
        <f t="shared" si="109"/>
        <v>3.1665007018357261</v>
      </c>
      <c r="T225" s="7">
        <f t="shared" si="110"/>
        <v>6.0912983313386154E-2</v>
      </c>
    </row>
    <row r="226" spans="1:20" hidden="1" x14ac:dyDescent="0.25">
      <c r="A226" t="str">
        <f t="shared" si="102"/>
        <v>43555NCE</v>
      </c>
      <c r="B226" t="str">
        <f t="shared" si="103"/>
        <v>43555BRF</v>
      </c>
      <c r="C226" s="4">
        <v>43555</v>
      </c>
      <c r="D226" t="s">
        <v>45</v>
      </c>
      <c r="E226" t="s">
        <v>31</v>
      </c>
      <c r="F226" t="s">
        <v>31</v>
      </c>
      <c r="G226" t="s">
        <v>23</v>
      </c>
      <c r="H226" s="5">
        <v>1661639</v>
      </c>
      <c r="I226" s="4">
        <f t="shared" si="111"/>
        <v>44650</v>
      </c>
      <c r="J226" t="s">
        <v>24</v>
      </c>
      <c r="K226" s="10"/>
      <c r="L226" s="7">
        <v>9.0200000000000002E-2</v>
      </c>
      <c r="M226" s="8">
        <v>3</v>
      </c>
      <c r="N226">
        <f t="shared" si="104"/>
        <v>2022</v>
      </c>
      <c r="O226" s="8">
        <f t="shared" si="105"/>
        <v>4984917</v>
      </c>
      <c r="P226" s="9">
        <f t="shared" si="106"/>
        <v>149879.83780000001</v>
      </c>
      <c r="Q226" s="5">
        <f t="shared" si="107"/>
        <v>149879.83780000001</v>
      </c>
      <c r="R226" s="5">
        <f t="shared" si="108"/>
        <v>37469.959450000002</v>
      </c>
      <c r="S226" s="8">
        <f t="shared" si="109"/>
        <v>3.1665007018357261</v>
      </c>
      <c r="T226" s="7">
        <f t="shared" si="110"/>
        <v>6.0912983313386154E-2</v>
      </c>
    </row>
    <row r="227" spans="1:20" hidden="1" x14ac:dyDescent="0.25">
      <c r="A227" t="str">
        <f t="shared" si="102"/>
        <v>43555PESA</v>
      </c>
      <c r="B227" t="str">
        <f t="shared" si="103"/>
        <v>43555BRF</v>
      </c>
      <c r="C227" s="4">
        <v>43555</v>
      </c>
      <c r="D227" t="s">
        <v>45</v>
      </c>
      <c r="E227" t="s">
        <v>28</v>
      </c>
      <c r="F227" t="s">
        <v>58</v>
      </c>
      <c r="G227" t="s">
        <v>23</v>
      </c>
      <c r="H227" s="5">
        <v>270098</v>
      </c>
      <c r="I227" s="4">
        <f t="shared" si="111"/>
        <v>43920</v>
      </c>
      <c r="J227" t="s">
        <v>59</v>
      </c>
      <c r="K227" s="10"/>
      <c r="L227" s="7">
        <v>0.13170000000000001</v>
      </c>
      <c r="M227" s="8">
        <v>1</v>
      </c>
      <c r="N227">
        <f t="shared" si="104"/>
        <v>2020</v>
      </c>
      <c r="O227" s="8">
        <f t="shared" si="105"/>
        <v>270098</v>
      </c>
      <c r="P227" s="9">
        <f t="shared" si="106"/>
        <v>35571.906600000002</v>
      </c>
      <c r="Q227" s="5">
        <f t="shared" si="107"/>
        <v>35571.906600000002</v>
      </c>
      <c r="R227" s="5">
        <f t="shared" si="108"/>
        <v>8892.9766500000005</v>
      </c>
      <c r="S227" s="8">
        <f t="shared" si="109"/>
        <v>3.1665007018357261</v>
      </c>
      <c r="T227" s="7">
        <f t="shared" si="110"/>
        <v>6.0912983313386154E-2</v>
      </c>
    </row>
    <row r="228" spans="1:20" hidden="1" x14ac:dyDescent="0.25">
      <c r="A228" t="str">
        <f t="shared" si="102"/>
        <v>43555Incentivos Fiscais</v>
      </c>
      <c r="B228" t="str">
        <f t="shared" si="103"/>
        <v>43555BRF</v>
      </c>
      <c r="C228" s="4">
        <v>43555</v>
      </c>
      <c r="D228" t="s">
        <v>45</v>
      </c>
      <c r="E228" t="s">
        <v>28</v>
      </c>
      <c r="F228" t="s">
        <v>53</v>
      </c>
      <c r="G228" t="s">
        <v>23</v>
      </c>
      <c r="H228" s="5">
        <v>17896</v>
      </c>
      <c r="I228" s="4">
        <f t="shared" si="111"/>
        <v>43737.5</v>
      </c>
      <c r="J228" t="s">
        <v>54</v>
      </c>
      <c r="K228" s="10"/>
      <c r="L228" s="7">
        <v>2.4E-2</v>
      </c>
      <c r="M228" s="8">
        <v>0.5</v>
      </c>
      <c r="N228">
        <f t="shared" si="104"/>
        <v>2019</v>
      </c>
      <c r="O228" s="8">
        <f t="shared" si="105"/>
        <v>8948</v>
      </c>
      <c r="P228" s="9">
        <f t="shared" si="106"/>
        <v>429.50400000000002</v>
      </c>
      <c r="Q228" s="5">
        <f t="shared" si="107"/>
        <v>429.50400000000002</v>
      </c>
      <c r="R228" s="5">
        <f t="shared" si="108"/>
        <v>107.376</v>
      </c>
      <c r="S228" s="8">
        <f t="shared" si="109"/>
        <v>3.1665007018357261</v>
      </c>
      <c r="T228" s="7">
        <f t="shared" si="110"/>
        <v>6.0912983313386154E-2</v>
      </c>
    </row>
    <row r="229" spans="1:20" hidden="1" x14ac:dyDescent="0.25">
      <c r="A229" t="str">
        <f t="shared" si="102"/>
        <v>43555Bond</v>
      </c>
      <c r="B229" t="str">
        <f t="shared" si="103"/>
        <v>43555BRF</v>
      </c>
      <c r="C229" s="4">
        <v>43555</v>
      </c>
      <c r="D229" t="s">
        <v>45</v>
      </c>
      <c r="E229" t="s">
        <v>35</v>
      </c>
      <c r="F229" t="s">
        <v>35</v>
      </c>
      <c r="G229" t="s">
        <v>34</v>
      </c>
      <c r="H229" s="5">
        <v>9824154</v>
      </c>
      <c r="I229" s="4">
        <f t="shared" si="111"/>
        <v>45307</v>
      </c>
      <c r="J229" t="s">
        <v>54</v>
      </c>
      <c r="K229" s="10"/>
      <c r="L229" s="7">
        <v>4.07E-2</v>
      </c>
      <c r="M229" s="8">
        <v>4.8</v>
      </c>
      <c r="N229">
        <f t="shared" si="104"/>
        <v>2024</v>
      </c>
      <c r="O229" s="8">
        <f t="shared" si="105"/>
        <v>47155939.199999996</v>
      </c>
      <c r="P229" s="9">
        <f t="shared" si="106"/>
        <v>399843.06780000002</v>
      </c>
      <c r="Q229" s="5">
        <f t="shared" si="107"/>
        <v>399843.06780000002</v>
      </c>
      <c r="R229" s="5">
        <f t="shared" si="108"/>
        <v>99960.766950000005</v>
      </c>
      <c r="S229" s="8">
        <f t="shared" si="109"/>
        <v>3.1665007018357261</v>
      </c>
      <c r="T229" s="7">
        <f t="shared" si="110"/>
        <v>6.0912983313386154E-2</v>
      </c>
    </row>
    <row r="230" spans="1:20" hidden="1" x14ac:dyDescent="0.25">
      <c r="A230" t="str">
        <f t="shared" si="102"/>
        <v>43555PPE</v>
      </c>
      <c r="B230" t="str">
        <f t="shared" si="103"/>
        <v>43555BRF</v>
      </c>
      <c r="C230" s="4">
        <v>43555</v>
      </c>
      <c r="D230" t="s">
        <v>45</v>
      </c>
      <c r="E230" t="s">
        <v>28</v>
      </c>
      <c r="F230" t="s">
        <v>36</v>
      </c>
      <c r="G230" t="s">
        <v>34</v>
      </c>
      <c r="H230" s="5">
        <v>595028</v>
      </c>
      <c r="I230" s="4">
        <f t="shared" si="111"/>
        <v>44175.5</v>
      </c>
      <c r="J230" t="s">
        <v>55</v>
      </c>
      <c r="K230" s="10"/>
      <c r="L230" s="7">
        <v>4.58E-2</v>
      </c>
      <c r="M230" s="8">
        <v>1.7</v>
      </c>
      <c r="N230">
        <f t="shared" si="104"/>
        <v>2020</v>
      </c>
      <c r="O230" s="8">
        <f t="shared" si="105"/>
        <v>1011547.6</v>
      </c>
      <c r="P230" s="9">
        <f t="shared" si="106"/>
        <v>27252.2824</v>
      </c>
      <c r="Q230" s="5">
        <f t="shared" si="107"/>
        <v>27252.2824</v>
      </c>
      <c r="R230" s="5">
        <f t="shared" si="108"/>
        <v>6813.0706</v>
      </c>
      <c r="S230" s="8">
        <f t="shared" si="109"/>
        <v>3.1665007018357261</v>
      </c>
      <c r="T230" s="7">
        <f t="shared" si="110"/>
        <v>6.0912983313386154E-2</v>
      </c>
    </row>
    <row r="231" spans="1:20" hidden="1" x14ac:dyDescent="0.25">
      <c r="A231" t="str">
        <f t="shared" si="102"/>
        <v>43555ACC</v>
      </c>
      <c r="B231" t="str">
        <f t="shared" si="103"/>
        <v>43555BRF</v>
      </c>
      <c r="C231" s="4">
        <v>43555</v>
      </c>
      <c r="D231" t="s">
        <v>45</v>
      </c>
      <c r="E231" t="s">
        <v>33</v>
      </c>
      <c r="F231" t="s">
        <v>33</v>
      </c>
      <c r="G231" t="s">
        <v>34</v>
      </c>
      <c r="H231" s="5">
        <v>315946</v>
      </c>
      <c r="I231" s="4">
        <f t="shared" si="111"/>
        <v>43810.5</v>
      </c>
      <c r="J231" t="s">
        <v>55</v>
      </c>
      <c r="K231" s="10"/>
      <c r="L231" s="7">
        <v>4.7399999999999998E-2</v>
      </c>
      <c r="M231" s="8">
        <v>0.7</v>
      </c>
      <c r="N231">
        <f t="shared" si="104"/>
        <v>2019</v>
      </c>
      <c r="O231" s="8">
        <f t="shared" si="105"/>
        <v>221162.19999999998</v>
      </c>
      <c r="P231" s="9">
        <f t="shared" si="106"/>
        <v>14975.840399999999</v>
      </c>
      <c r="Q231" s="5">
        <f t="shared" si="107"/>
        <v>14975.840399999999</v>
      </c>
      <c r="R231" s="5">
        <f t="shared" si="108"/>
        <v>3743.9600999999998</v>
      </c>
      <c r="S231" s="8">
        <f t="shared" si="109"/>
        <v>3.1665007018357261</v>
      </c>
      <c r="T231" s="7">
        <f t="shared" si="110"/>
        <v>6.0912983313386154E-2</v>
      </c>
    </row>
    <row r="232" spans="1:20" hidden="1" x14ac:dyDescent="0.25">
      <c r="A232" t="str">
        <f t="shared" si="102"/>
        <v>43555KG</v>
      </c>
      <c r="B232" t="str">
        <f t="shared" si="103"/>
        <v>43555BRF</v>
      </c>
      <c r="C232" s="4">
        <v>43555</v>
      </c>
      <c r="D232" t="s">
        <v>45</v>
      </c>
      <c r="E232" t="s">
        <v>28</v>
      </c>
      <c r="F232" t="s">
        <v>46</v>
      </c>
      <c r="G232" t="s">
        <v>56</v>
      </c>
      <c r="H232" s="13">
        <v>212996</v>
      </c>
      <c r="I232" s="4">
        <f t="shared" si="111"/>
        <v>43883.5</v>
      </c>
      <c r="J232" t="s">
        <v>54</v>
      </c>
      <c r="K232" s="10"/>
      <c r="L232" s="7">
        <v>0.22950000000000001</v>
      </c>
      <c r="M232" s="8">
        <v>0.9</v>
      </c>
      <c r="N232">
        <f t="shared" si="104"/>
        <v>2020</v>
      </c>
      <c r="O232" s="8">
        <f t="shared" si="105"/>
        <v>191696.4</v>
      </c>
      <c r="P232" s="9">
        <f t="shared" si="106"/>
        <v>48882.582000000002</v>
      </c>
      <c r="Q232" s="5">
        <f t="shared" si="107"/>
        <v>48882.582000000002</v>
      </c>
      <c r="R232" s="5">
        <f t="shared" si="108"/>
        <v>12220.645500000001</v>
      </c>
      <c r="S232" s="8">
        <f t="shared" si="109"/>
        <v>3.1665007018357261</v>
      </c>
      <c r="T232" s="7">
        <f t="shared" si="110"/>
        <v>6.0912983313386154E-2</v>
      </c>
    </row>
    <row r="233" spans="1:20" hidden="1" x14ac:dyDescent="0.25">
      <c r="A233" t="str">
        <f t="shared" si="102"/>
        <v>43555Derivativo</v>
      </c>
      <c r="B233" t="str">
        <f t="shared" si="103"/>
        <v>43555BRF</v>
      </c>
      <c r="C233" s="4">
        <v>43555</v>
      </c>
      <c r="D233" t="s">
        <v>45</v>
      </c>
      <c r="E233" t="s">
        <v>28</v>
      </c>
      <c r="F233" t="s">
        <v>57</v>
      </c>
      <c r="G233" t="s">
        <v>23</v>
      </c>
      <c r="I233" s="4">
        <f t="shared" si="111"/>
        <v>43555</v>
      </c>
      <c r="N233">
        <f t="shared" si="104"/>
        <v>2019</v>
      </c>
      <c r="O233" s="8">
        <f t="shared" si="105"/>
        <v>0</v>
      </c>
      <c r="P233" s="9">
        <f t="shared" si="106"/>
        <v>0</v>
      </c>
      <c r="Q233" s="5">
        <f t="shared" si="107"/>
        <v>0</v>
      </c>
      <c r="R233" s="5">
        <f t="shared" si="108"/>
        <v>0</v>
      </c>
      <c r="S233" s="8">
        <f t="shared" si="109"/>
        <v>3.1665007018357261</v>
      </c>
      <c r="T233" s="14">
        <f t="shared" si="110"/>
        <v>6.0912983313386154E-2</v>
      </c>
    </row>
    <row r="234" spans="1:20" hidden="1" x14ac:dyDescent="0.25"/>
    <row r="235" spans="1:20" hidden="1" x14ac:dyDescent="0.25">
      <c r="A235" t="str">
        <f t="shared" ref="A235:A267" si="112">C235&amp;F235</f>
        <v>43830ACC</v>
      </c>
      <c r="B235" t="str">
        <f t="shared" ref="B235:B267" si="113">C235&amp;D235</f>
        <v>43830JBS</v>
      </c>
      <c r="C235" s="4">
        <v>43830</v>
      </c>
      <c r="D235" t="s">
        <v>60</v>
      </c>
      <c r="E235" t="s">
        <v>33</v>
      </c>
      <c r="F235" t="s">
        <v>33</v>
      </c>
      <c r="G235" t="s">
        <v>34</v>
      </c>
      <c r="H235" s="5">
        <v>0</v>
      </c>
      <c r="I235" s="4">
        <f>C235+365*M235</f>
        <v>44195</v>
      </c>
      <c r="J235" t="s">
        <v>54</v>
      </c>
      <c r="K235" s="12"/>
      <c r="L235" s="7">
        <v>0</v>
      </c>
      <c r="M235" s="8">
        <v>1</v>
      </c>
      <c r="N235">
        <f t="shared" ref="N235:N267" si="114">YEAR(I235)</f>
        <v>2020</v>
      </c>
      <c r="O235" s="8">
        <f t="shared" ref="O235:O267" si="115">M235*H235</f>
        <v>0</v>
      </c>
      <c r="P235" s="9">
        <f t="shared" ref="P235:P267" si="116">L235*H235</f>
        <v>0</v>
      </c>
      <c r="Q235" s="5">
        <f t="shared" ref="Q235:Q267" si="117">H235*L235</f>
        <v>0</v>
      </c>
      <c r="R235" s="5">
        <f t="shared" ref="R235:R267" si="118">Q235/4</f>
        <v>0</v>
      </c>
      <c r="S235" s="8">
        <f t="shared" ref="S235:S267" si="119">SUMIFS($O:$O,$C:$C,$C235,$D:$D,D235)/SUMIFS($H:$H,$C:$C,$C235,$D:$D,D235)</f>
        <v>6.3052106505231578</v>
      </c>
      <c r="T235" s="7">
        <f t="shared" ref="T235:T267" si="120">SUMIFS($P:$P,$C:$C,$C235,$D:$D,D235)/SUMIFS($H:$H,$C:$C,$C235,$D:$D,D235)</f>
        <v>5.5636076807511071E-2</v>
      </c>
    </row>
    <row r="236" spans="1:20" hidden="1" x14ac:dyDescent="0.25">
      <c r="A236" t="str">
        <f t="shared" si="112"/>
        <v>43830PPE</v>
      </c>
      <c r="B236" t="str">
        <f t="shared" si="113"/>
        <v>43830JBS</v>
      </c>
      <c r="C236" s="4">
        <v>43830</v>
      </c>
      <c r="D236" t="s">
        <v>60</v>
      </c>
      <c r="E236" t="s">
        <v>36</v>
      </c>
      <c r="F236" t="s">
        <v>36</v>
      </c>
      <c r="G236" t="s">
        <v>34</v>
      </c>
      <c r="H236" s="13">
        <f>314063+2306399</f>
        <v>2620462</v>
      </c>
      <c r="I236" s="4">
        <f t="shared" ref="I236:I267" si="121">C236+365*M236</f>
        <v>45290</v>
      </c>
      <c r="J236" t="s">
        <v>37</v>
      </c>
      <c r="L236" s="14">
        <v>4.4999999999999998E-2</v>
      </c>
      <c r="M236" s="8">
        <v>4</v>
      </c>
      <c r="N236">
        <f t="shared" si="114"/>
        <v>2023</v>
      </c>
      <c r="O236" s="8">
        <f t="shared" si="115"/>
        <v>10481848</v>
      </c>
      <c r="P236" s="9">
        <f t="shared" si="116"/>
        <v>117920.79</v>
      </c>
      <c r="Q236" s="5">
        <f t="shared" si="117"/>
        <v>117920.79</v>
      </c>
      <c r="R236" s="5">
        <f t="shared" si="118"/>
        <v>29480.197499999998</v>
      </c>
      <c r="S236" s="8">
        <f t="shared" si="119"/>
        <v>6.3052106505231578</v>
      </c>
      <c r="T236" s="7">
        <f t="shared" si="120"/>
        <v>5.5636076807511071E-2</v>
      </c>
    </row>
    <row r="237" spans="1:20" hidden="1" x14ac:dyDescent="0.25">
      <c r="A237" t="str">
        <f t="shared" si="112"/>
        <v>43830Bond</v>
      </c>
      <c r="B237" t="str">
        <f t="shared" si="113"/>
        <v>43830JBS</v>
      </c>
      <c r="C237" s="4">
        <v>43830</v>
      </c>
      <c r="D237" t="s">
        <v>60</v>
      </c>
      <c r="E237" t="s">
        <v>35</v>
      </c>
      <c r="F237" t="s">
        <v>35</v>
      </c>
      <c r="G237" t="s">
        <v>34</v>
      </c>
      <c r="H237" s="13">
        <f>43124+1713048</f>
        <v>1756172</v>
      </c>
      <c r="I237" s="4">
        <f t="shared" si="121"/>
        <v>44925</v>
      </c>
      <c r="J237" t="s">
        <v>54</v>
      </c>
      <c r="L237" s="14">
        <v>6.25E-2</v>
      </c>
      <c r="M237" s="8">
        <v>3</v>
      </c>
      <c r="N237">
        <f t="shared" si="114"/>
        <v>2022</v>
      </c>
      <c r="O237" s="8">
        <f t="shared" si="115"/>
        <v>5268516</v>
      </c>
      <c r="P237" s="9">
        <f t="shared" si="116"/>
        <v>109760.75</v>
      </c>
      <c r="Q237" s="5">
        <f t="shared" si="117"/>
        <v>109760.75</v>
      </c>
      <c r="R237" s="5">
        <f t="shared" si="118"/>
        <v>27440.1875</v>
      </c>
      <c r="S237" s="8">
        <f t="shared" si="119"/>
        <v>6.3052106505231578</v>
      </c>
      <c r="T237" s="7">
        <f t="shared" si="120"/>
        <v>5.5636076807511071E-2</v>
      </c>
    </row>
    <row r="238" spans="1:20" hidden="1" x14ac:dyDescent="0.25">
      <c r="A238" t="str">
        <f t="shared" si="112"/>
        <v>43830Bond</v>
      </c>
      <c r="B238" t="str">
        <f t="shared" si="113"/>
        <v>43830JBS</v>
      </c>
      <c r="C238" s="4">
        <v>43830</v>
      </c>
      <c r="D238" t="s">
        <v>60</v>
      </c>
      <c r="E238" t="s">
        <v>35</v>
      </c>
      <c r="F238" t="s">
        <v>35</v>
      </c>
      <c r="G238" t="s">
        <v>34</v>
      </c>
      <c r="H238" s="13">
        <v>0</v>
      </c>
      <c r="I238" s="4">
        <f t="shared" si="121"/>
        <v>43830</v>
      </c>
      <c r="J238" t="s">
        <v>54</v>
      </c>
      <c r="L238" s="14">
        <v>0</v>
      </c>
      <c r="M238" s="8">
        <v>0</v>
      </c>
      <c r="N238">
        <f t="shared" si="114"/>
        <v>2019</v>
      </c>
      <c r="O238" s="8">
        <f t="shared" si="115"/>
        <v>0</v>
      </c>
      <c r="P238" s="9">
        <f t="shared" si="116"/>
        <v>0</v>
      </c>
      <c r="Q238" s="5">
        <f t="shared" si="117"/>
        <v>0</v>
      </c>
      <c r="R238" s="5">
        <f t="shared" si="118"/>
        <v>0</v>
      </c>
      <c r="S238" s="8">
        <f t="shared" si="119"/>
        <v>6.3052106505231578</v>
      </c>
      <c r="T238" s="7">
        <f t="shared" si="120"/>
        <v>5.5636076807511071E-2</v>
      </c>
    </row>
    <row r="239" spans="1:20" hidden="1" x14ac:dyDescent="0.25">
      <c r="A239" t="str">
        <f t="shared" si="112"/>
        <v>43830Bond</v>
      </c>
      <c r="B239" t="str">
        <f t="shared" si="113"/>
        <v>43830JBS</v>
      </c>
      <c r="C239" s="4">
        <v>43830</v>
      </c>
      <c r="D239" t="s">
        <v>60</v>
      </c>
      <c r="E239" t="s">
        <v>35</v>
      </c>
      <c r="F239" t="s">
        <v>35</v>
      </c>
      <c r="G239" t="s">
        <v>34</v>
      </c>
      <c r="H239" s="13">
        <f>132325+3999409</f>
        <v>4131734</v>
      </c>
      <c r="I239" s="4">
        <f t="shared" si="121"/>
        <v>46020</v>
      </c>
      <c r="J239" t="s">
        <v>54</v>
      </c>
      <c r="L239" s="14">
        <v>7.0000000000000007E-2</v>
      </c>
      <c r="M239" s="8">
        <v>6</v>
      </c>
      <c r="N239">
        <f t="shared" si="114"/>
        <v>2025</v>
      </c>
      <c r="O239" s="8">
        <f t="shared" si="115"/>
        <v>24790404</v>
      </c>
      <c r="P239" s="9">
        <f t="shared" si="116"/>
        <v>289221.38</v>
      </c>
      <c r="Q239" s="5">
        <f t="shared" si="117"/>
        <v>289221.38</v>
      </c>
      <c r="R239" s="5">
        <f t="shared" si="118"/>
        <v>72305.345000000001</v>
      </c>
      <c r="S239" s="8">
        <f t="shared" si="119"/>
        <v>6.3052106505231578</v>
      </c>
      <c r="T239" s="7">
        <f t="shared" si="120"/>
        <v>5.5636076807511071E-2</v>
      </c>
    </row>
    <row r="240" spans="1:20" hidden="1" x14ac:dyDescent="0.25">
      <c r="A240" t="str">
        <f t="shared" si="112"/>
        <v>43830Bond</v>
      </c>
      <c r="B240" t="str">
        <f t="shared" si="113"/>
        <v>43830JBS</v>
      </c>
      <c r="C240" s="4">
        <v>43830</v>
      </c>
      <c r="D240" t="s">
        <v>60</v>
      </c>
      <c r="E240" t="s">
        <v>35</v>
      </c>
      <c r="F240" t="s">
        <v>35</v>
      </c>
      <c r="G240" t="s">
        <v>34</v>
      </c>
      <c r="H240" s="13">
        <f>74358+2996451</f>
        <v>3070809</v>
      </c>
      <c r="I240" s="4">
        <f t="shared" si="121"/>
        <v>46750</v>
      </c>
      <c r="J240" t="s">
        <v>54</v>
      </c>
      <c r="L240" s="14">
        <v>5.7500000000000002E-2</v>
      </c>
      <c r="M240" s="8">
        <v>8</v>
      </c>
      <c r="N240">
        <f t="shared" si="114"/>
        <v>2027</v>
      </c>
      <c r="O240" s="8">
        <f t="shared" si="115"/>
        <v>24566472</v>
      </c>
      <c r="P240" s="9">
        <f t="shared" si="116"/>
        <v>176571.51750000002</v>
      </c>
      <c r="Q240" s="5">
        <f t="shared" si="117"/>
        <v>176571.51750000002</v>
      </c>
      <c r="R240" s="5">
        <f t="shared" si="118"/>
        <v>44142.879375000004</v>
      </c>
      <c r="S240" s="8">
        <f t="shared" si="119"/>
        <v>6.3052106505231578</v>
      </c>
      <c r="T240" s="7">
        <f t="shared" si="120"/>
        <v>5.5636076807511071E-2</v>
      </c>
    </row>
    <row r="241" spans="1:20" hidden="1" x14ac:dyDescent="0.25">
      <c r="A241" t="str">
        <f t="shared" si="112"/>
        <v>43830NCI</v>
      </c>
      <c r="B241" t="str">
        <f t="shared" si="113"/>
        <v>43830JBS</v>
      </c>
      <c r="C241" s="4">
        <v>43830</v>
      </c>
      <c r="D241" t="s">
        <v>60</v>
      </c>
      <c r="E241" t="s">
        <v>61</v>
      </c>
      <c r="F241" t="s">
        <v>61</v>
      </c>
      <c r="G241" t="s">
        <v>34</v>
      </c>
      <c r="H241" s="13">
        <v>0</v>
      </c>
      <c r="I241" s="4">
        <f t="shared" si="121"/>
        <v>43830</v>
      </c>
      <c r="J241" t="s">
        <v>54</v>
      </c>
      <c r="L241" s="14">
        <v>0</v>
      </c>
      <c r="M241" s="8">
        <v>0</v>
      </c>
      <c r="N241">
        <f t="shared" si="114"/>
        <v>2019</v>
      </c>
      <c r="O241" s="8">
        <f t="shared" si="115"/>
        <v>0</v>
      </c>
      <c r="P241" s="9">
        <f t="shared" si="116"/>
        <v>0</v>
      </c>
      <c r="Q241" s="5">
        <f t="shared" si="117"/>
        <v>0</v>
      </c>
      <c r="R241" s="5">
        <f t="shared" si="118"/>
        <v>0</v>
      </c>
      <c r="S241" s="8">
        <f t="shared" si="119"/>
        <v>6.3052106505231578</v>
      </c>
      <c r="T241" s="7">
        <f t="shared" si="120"/>
        <v>5.5636076807511071E-2</v>
      </c>
    </row>
    <row r="242" spans="1:20" hidden="1" x14ac:dyDescent="0.25">
      <c r="A242" t="str">
        <f t="shared" si="112"/>
        <v>43830Finimp</v>
      </c>
      <c r="B242" t="str">
        <f t="shared" si="113"/>
        <v>43830JBS</v>
      </c>
      <c r="C242" s="4">
        <v>43830</v>
      </c>
      <c r="D242" t="s">
        <v>60</v>
      </c>
      <c r="E242" t="s">
        <v>62</v>
      </c>
      <c r="F242" t="s">
        <v>62</v>
      </c>
      <c r="G242" t="s">
        <v>63</v>
      </c>
      <c r="H242" s="13">
        <f>32354+22138</f>
        <v>54492</v>
      </c>
      <c r="I242" s="4">
        <f t="shared" si="121"/>
        <v>45290</v>
      </c>
      <c r="J242" t="s">
        <v>64</v>
      </c>
      <c r="L242" s="14">
        <v>3.5099999999999999E-2</v>
      </c>
      <c r="M242" s="8">
        <v>4</v>
      </c>
      <c r="N242">
        <f t="shared" si="114"/>
        <v>2023</v>
      </c>
      <c r="O242" s="8">
        <f t="shared" si="115"/>
        <v>217968</v>
      </c>
      <c r="P242" s="9">
        <f t="shared" si="116"/>
        <v>1912.6692</v>
      </c>
      <c r="Q242" s="5">
        <f t="shared" si="117"/>
        <v>1912.6692</v>
      </c>
      <c r="R242" s="5">
        <f t="shared" si="118"/>
        <v>478.16730000000001</v>
      </c>
      <c r="S242" s="8">
        <f t="shared" si="119"/>
        <v>6.3052106505231578</v>
      </c>
      <c r="T242" s="7">
        <f t="shared" si="120"/>
        <v>5.5636076807511071E-2</v>
      </c>
    </row>
    <row r="243" spans="1:20" hidden="1" x14ac:dyDescent="0.25">
      <c r="A243" t="str">
        <f t="shared" si="112"/>
        <v>43830Scott</v>
      </c>
      <c r="B243" t="str">
        <f t="shared" si="113"/>
        <v>43830JBS</v>
      </c>
      <c r="C243" s="4">
        <v>43830</v>
      </c>
      <c r="D243" t="s">
        <v>60</v>
      </c>
      <c r="E243" t="s">
        <v>65</v>
      </c>
      <c r="F243" t="s">
        <v>65</v>
      </c>
      <c r="G243" t="s">
        <v>34</v>
      </c>
      <c r="H243" s="13">
        <f>1447+6618</f>
        <v>8065</v>
      </c>
      <c r="I243" s="4">
        <f t="shared" si="121"/>
        <v>44925</v>
      </c>
      <c r="J243" t="s">
        <v>54</v>
      </c>
      <c r="L243" s="14">
        <v>4.9700000000000001E-2</v>
      </c>
      <c r="M243" s="8">
        <v>3</v>
      </c>
      <c r="N243">
        <f t="shared" si="114"/>
        <v>2022</v>
      </c>
      <c r="O243" s="8">
        <f t="shared" si="115"/>
        <v>24195</v>
      </c>
      <c r="P243" s="9">
        <f t="shared" si="116"/>
        <v>400.83050000000003</v>
      </c>
      <c r="Q243" s="5">
        <f t="shared" si="117"/>
        <v>400.83050000000003</v>
      </c>
      <c r="R243" s="5">
        <f t="shared" si="118"/>
        <v>100.20762500000001</v>
      </c>
      <c r="S243" s="8">
        <f t="shared" si="119"/>
        <v>6.3052106505231578</v>
      </c>
      <c r="T243" s="7">
        <f t="shared" si="120"/>
        <v>5.5636076807511071E-2</v>
      </c>
    </row>
    <row r="244" spans="1:20" hidden="1" x14ac:dyDescent="0.25">
      <c r="A244" t="str">
        <f t="shared" si="112"/>
        <v>43830KG</v>
      </c>
      <c r="B244" t="str">
        <f t="shared" si="113"/>
        <v>43830JBS</v>
      </c>
      <c r="C244" s="4">
        <v>43830</v>
      </c>
      <c r="D244" t="s">
        <v>60</v>
      </c>
      <c r="E244" t="s">
        <v>46</v>
      </c>
      <c r="F244" t="s">
        <v>46</v>
      </c>
      <c r="G244" t="s">
        <v>34</v>
      </c>
      <c r="H244" s="13">
        <v>0</v>
      </c>
      <c r="I244" s="4">
        <f t="shared" si="121"/>
        <v>43830</v>
      </c>
      <c r="J244" t="s">
        <v>54</v>
      </c>
      <c r="L244" s="14">
        <v>0</v>
      </c>
      <c r="M244" s="8">
        <v>0</v>
      </c>
      <c r="N244">
        <f t="shared" si="114"/>
        <v>2019</v>
      </c>
      <c r="O244" s="8">
        <f t="shared" si="115"/>
        <v>0</v>
      </c>
      <c r="P244" s="9">
        <f t="shared" si="116"/>
        <v>0</v>
      </c>
      <c r="Q244" s="5">
        <f t="shared" si="117"/>
        <v>0</v>
      </c>
      <c r="R244" s="5">
        <f t="shared" si="118"/>
        <v>0</v>
      </c>
      <c r="S244" s="8">
        <f t="shared" si="119"/>
        <v>6.3052106505231578</v>
      </c>
      <c r="T244" s="7">
        <f t="shared" si="120"/>
        <v>5.5636076807511071E-2</v>
      </c>
    </row>
    <row r="245" spans="1:20" hidden="1" x14ac:dyDescent="0.25">
      <c r="A245" t="str">
        <f t="shared" si="112"/>
        <v>43830Finame</v>
      </c>
      <c r="B245" t="str">
        <f t="shared" si="113"/>
        <v>43830JBS</v>
      </c>
      <c r="C245" s="4">
        <v>43830</v>
      </c>
      <c r="D245" t="s">
        <v>60</v>
      </c>
      <c r="E245" t="s">
        <v>66</v>
      </c>
      <c r="F245" t="s">
        <v>66</v>
      </c>
      <c r="G245" t="s">
        <v>23</v>
      </c>
      <c r="H245" s="13">
        <f>10816+21061</f>
        <v>31877</v>
      </c>
      <c r="I245" s="4">
        <f t="shared" si="121"/>
        <v>44925</v>
      </c>
      <c r="J245" t="s">
        <v>44</v>
      </c>
      <c r="L245" s="14">
        <v>5.8700000000000002E-2</v>
      </c>
      <c r="M245" s="8">
        <v>3</v>
      </c>
      <c r="N245">
        <f t="shared" si="114"/>
        <v>2022</v>
      </c>
      <c r="O245" s="8">
        <f t="shared" si="115"/>
        <v>95631</v>
      </c>
      <c r="P245" s="9">
        <f t="shared" si="116"/>
        <v>1871.1799000000001</v>
      </c>
      <c r="Q245" s="5">
        <f t="shared" si="117"/>
        <v>1871.1799000000001</v>
      </c>
      <c r="R245" s="5">
        <f t="shared" si="118"/>
        <v>467.79497500000002</v>
      </c>
      <c r="S245" s="8">
        <f t="shared" si="119"/>
        <v>6.3052106505231578</v>
      </c>
      <c r="T245" s="7">
        <f t="shared" si="120"/>
        <v>5.5636076807511071E-2</v>
      </c>
    </row>
    <row r="246" spans="1:20" hidden="1" x14ac:dyDescent="0.25">
      <c r="A246" t="str">
        <f t="shared" si="112"/>
        <v>43830FINEP</v>
      </c>
      <c r="B246" t="str">
        <f t="shared" si="113"/>
        <v>43830JBS</v>
      </c>
      <c r="C246" s="4">
        <v>43830</v>
      </c>
      <c r="D246" t="s">
        <v>60</v>
      </c>
      <c r="E246" t="s">
        <v>67</v>
      </c>
      <c r="F246" t="s">
        <v>67</v>
      </c>
      <c r="G246" t="s">
        <v>23</v>
      </c>
      <c r="H246" s="13">
        <f>25575+34367</f>
        <v>59942</v>
      </c>
      <c r="I246" s="4">
        <f t="shared" si="121"/>
        <v>44925</v>
      </c>
      <c r="J246" t="s">
        <v>54</v>
      </c>
      <c r="L246" s="14">
        <v>6.6199999999999995E-2</v>
      </c>
      <c r="M246" s="8">
        <v>3</v>
      </c>
      <c r="N246">
        <f t="shared" si="114"/>
        <v>2022</v>
      </c>
      <c r="O246" s="8">
        <f t="shared" si="115"/>
        <v>179826</v>
      </c>
      <c r="P246" s="9">
        <f t="shared" si="116"/>
        <v>3968.1603999999998</v>
      </c>
      <c r="Q246" s="5">
        <f t="shared" si="117"/>
        <v>3968.1603999999998</v>
      </c>
      <c r="R246" s="5">
        <f t="shared" si="118"/>
        <v>992.04009999999994</v>
      </c>
      <c r="S246" s="8">
        <f t="shared" si="119"/>
        <v>6.3052106505231578</v>
      </c>
      <c r="T246" s="7">
        <f t="shared" si="120"/>
        <v>5.5636076807511071E-2</v>
      </c>
    </row>
    <row r="247" spans="1:20" hidden="1" x14ac:dyDescent="0.25">
      <c r="A247" t="str">
        <f t="shared" si="112"/>
        <v>43830Bond</v>
      </c>
      <c r="B247" t="str">
        <f t="shared" si="113"/>
        <v>43830JBS</v>
      </c>
      <c r="C247" s="4">
        <v>43830</v>
      </c>
      <c r="D247" t="s">
        <v>60</v>
      </c>
      <c r="E247" t="s">
        <v>35</v>
      </c>
      <c r="F247" t="s">
        <v>35</v>
      </c>
      <c r="G247" t="s">
        <v>34</v>
      </c>
      <c r="H247" s="13">
        <v>0</v>
      </c>
      <c r="I247" s="4">
        <f t="shared" si="121"/>
        <v>43830</v>
      </c>
      <c r="J247" t="s">
        <v>54</v>
      </c>
      <c r="L247" s="14">
        <v>0</v>
      </c>
      <c r="M247" s="8">
        <v>0</v>
      </c>
      <c r="N247">
        <f t="shared" si="114"/>
        <v>2019</v>
      </c>
      <c r="O247" s="8">
        <f t="shared" si="115"/>
        <v>0</v>
      </c>
      <c r="P247" s="9">
        <f t="shared" si="116"/>
        <v>0</v>
      </c>
      <c r="Q247" s="5">
        <f t="shared" si="117"/>
        <v>0</v>
      </c>
      <c r="R247" s="5">
        <f t="shared" si="118"/>
        <v>0</v>
      </c>
      <c r="S247" s="8">
        <f t="shared" si="119"/>
        <v>6.3052106505231578</v>
      </c>
      <c r="T247" s="7">
        <f t="shared" si="120"/>
        <v>5.5636076807511071E-2</v>
      </c>
    </row>
    <row r="248" spans="1:20" hidden="1" x14ac:dyDescent="0.25">
      <c r="A248" t="str">
        <f t="shared" si="112"/>
        <v>43830Bond</v>
      </c>
      <c r="B248" t="str">
        <f t="shared" si="113"/>
        <v>43830JBS</v>
      </c>
      <c r="C248" s="4">
        <v>43830</v>
      </c>
      <c r="D248" t="s">
        <v>60</v>
      </c>
      <c r="E248" t="s">
        <v>35</v>
      </c>
      <c r="F248" t="s">
        <v>35</v>
      </c>
      <c r="G248" t="s">
        <v>34</v>
      </c>
      <c r="H248" s="13">
        <f>97680+3619806</f>
        <v>3717486</v>
      </c>
      <c r="I248" s="4">
        <f t="shared" si="121"/>
        <v>45290</v>
      </c>
      <c r="J248" t="s">
        <v>54</v>
      </c>
      <c r="L248" s="14">
        <v>5.8799999999999998E-2</v>
      </c>
      <c r="M248" s="8">
        <v>4</v>
      </c>
      <c r="N248">
        <f t="shared" si="114"/>
        <v>2023</v>
      </c>
      <c r="O248" s="8">
        <f t="shared" si="115"/>
        <v>14869944</v>
      </c>
      <c r="P248" s="9">
        <f t="shared" si="116"/>
        <v>218588.17679999999</v>
      </c>
      <c r="Q248" s="5">
        <f t="shared" si="117"/>
        <v>218588.17679999999</v>
      </c>
      <c r="R248" s="5">
        <f t="shared" si="118"/>
        <v>54647.044199999997</v>
      </c>
      <c r="S248" s="8">
        <f t="shared" si="119"/>
        <v>6.3052106505231578</v>
      </c>
      <c r="T248" s="7">
        <f t="shared" si="120"/>
        <v>5.5636076807511071E-2</v>
      </c>
    </row>
    <row r="249" spans="1:20" hidden="1" x14ac:dyDescent="0.25">
      <c r="A249" t="str">
        <f t="shared" si="112"/>
        <v>43830Bond</v>
      </c>
      <c r="B249" t="str">
        <f t="shared" si="113"/>
        <v>43830JBS</v>
      </c>
      <c r="C249" s="4">
        <v>43830</v>
      </c>
      <c r="D249" t="s">
        <v>60</v>
      </c>
      <c r="E249" t="s">
        <v>35</v>
      </c>
      <c r="F249" t="s">
        <v>35</v>
      </c>
      <c r="G249" t="s">
        <v>34</v>
      </c>
      <c r="H249" s="13">
        <f>10141+4218570</f>
        <v>4228711</v>
      </c>
      <c r="I249" s="4">
        <f t="shared" si="121"/>
        <v>45655</v>
      </c>
      <c r="J249" t="s">
        <v>54</v>
      </c>
      <c r="L249" s="14">
        <v>5.7500000000000002E-2</v>
      </c>
      <c r="M249" s="8">
        <v>5</v>
      </c>
      <c r="N249">
        <f t="shared" si="114"/>
        <v>2024</v>
      </c>
      <c r="O249" s="8">
        <f t="shared" si="115"/>
        <v>21143555</v>
      </c>
      <c r="P249" s="9">
        <f t="shared" si="116"/>
        <v>243150.88250000001</v>
      </c>
      <c r="Q249" s="5">
        <f t="shared" si="117"/>
        <v>243150.88250000001</v>
      </c>
      <c r="R249" s="5">
        <f t="shared" si="118"/>
        <v>60787.720625000002</v>
      </c>
      <c r="S249" s="8">
        <f t="shared" si="119"/>
        <v>6.3052106505231578</v>
      </c>
      <c r="T249" s="7">
        <f t="shared" si="120"/>
        <v>5.5636076807511071E-2</v>
      </c>
    </row>
    <row r="250" spans="1:20" hidden="1" x14ac:dyDescent="0.25">
      <c r="A250" t="str">
        <f t="shared" si="112"/>
        <v>43830Bond</v>
      </c>
      <c r="B250" t="str">
        <f t="shared" si="113"/>
        <v>43830JBS</v>
      </c>
      <c r="C250" s="4">
        <v>43830</v>
      </c>
      <c r="D250" t="s">
        <v>60</v>
      </c>
      <c r="E250" t="s">
        <v>35</v>
      </c>
      <c r="F250" t="s">
        <v>35</v>
      </c>
      <c r="G250" t="s">
        <v>34</v>
      </c>
      <c r="H250" s="13">
        <f>67599+4014395</f>
        <v>4081994</v>
      </c>
      <c r="I250" s="4">
        <f t="shared" si="121"/>
        <v>45655</v>
      </c>
      <c r="J250" t="s">
        <v>54</v>
      </c>
      <c r="L250" s="14">
        <v>5.7500000000000002E-2</v>
      </c>
      <c r="M250" s="8">
        <v>5</v>
      </c>
      <c r="N250">
        <f t="shared" si="114"/>
        <v>2024</v>
      </c>
      <c r="O250" s="8">
        <f t="shared" si="115"/>
        <v>20409970</v>
      </c>
      <c r="P250" s="9">
        <f t="shared" si="116"/>
        <v>234714.655</v>
      </c>
      <c r="Q250" s="5">
        <f t="shared" si="117"/>
        <v>234714.655</v>
      </c>
      <c r="R250" s="5">
        <f t="shared" si="118"/>
        <v>58678.66375</v>
      </c>
      <c r="S250" s="8">
        <f t="shared" si="119"/>
        <v>6.3052106505231578</v>
      </c>
      <c r="T250" s="7">
        <f t="shared" si="120"/>
        <v>5.5636076807511071E-2</v>
      </c>
    </row>
    <row r="251" spans="1:20" hidden="1" x14ac:dyDescent="0.25">
      <c r="A251" t="str">
        <f t="shared" si="112"/>
        <v>43830Bond</v>
      </c>
      <c r="B251" t="str">
        <f t="shared" si="113"/>
        <v>43830JBS</v>
      </c>
      <c r="C251" s="4">
        <v>43830</v>
      </c>
      <c r="D251" t="s">
        <v>60</v>
      </c>
      <c r="E251" t="s">
        <v>35</v>
      </c>
      <c r="F251" t="s">
        <v>35</v>
      </c>
      <c r="G251" t="s">
        <v>34</v>
      </c>
      <c r="H251" s="13">
        <f>50319+3373784</f>
        <v>3424103</v>
      </c>
      <c r="I251" s="4">
        <f t="shared" si="121"/>
        <v>46385</v>
      </c>
      <c r="J251" t="s">
        <v>54</v>
      </c>
      <c r="L251" s="14">
        <v>5.8700000000000002E-2</v>
      </c>
      <c r="M251" s="8">
        <v>7</v>
      </c>
      <c r="N251">
        <f t="shared" si="114"/>
        <v>2026</v>
      </c>
      <c r="O251" s="8">
        <f t="shared" si="115"/>
        <v>23968721</v>
      </c>
      <c r="P251" s="9">
        <f t="shared" si="116"/>
        <v>200994.8461</v>
      </c>
      <c r="Q251" s="5">
        <f t="shared" si="117"/>
        <v>200994.8461</v>
      </c>
      <c r="R251" s="5">
        <f t="shared" si="118"/>
        <v>50248.711524999999</v>
      </c>
      <c r="S251" s="8">
        <f t="shared" si="119"/>
        <v>6.3052106505231578</v>
      </c>
      <c r="T251" s="7">
        <f t="shared" si="120"/>
        <v>5.5636076807511071E-2</v>
      </c>
    </row>
    <row r="252" spans="1:20" hidden="1" x14ac:dyDescent="0.25">
      <c r="A252" t="str">
        <f t="shared" si="112"/>
        <v>43830Bond</v>
      </c>
      <c r="B252" t="str">
        <f t="shared" si="113"/>
        <v>43830JBS</v>
      </c>
      <c r="C252" s="4">
        <v>43830</v>
      </c>
      <c r="D252" t="s">
        <v>60</v>
      </c>
      <c r="E252" t="s">
        <v>35</v>
      </c>
      <c r="F252" t="s">
        <v>35</v>
      </c>
      <c r="G252" t="s">
        <v>34</v>
      </c>
      <c r="H252" s="13">
        <f>91823+3598496</f>
        <v>3690319</v>
      </c>
      <c r="I252" s="4">
        <f t="shared" si="121"/>
        <v>46750</v>
      </c>
      <c r="J252" t="s">
        <v>54</v>
      </c>
      <c r="L252" s="14">
        <v>6.7500000000000004E-2</v>
      </c>
      <c r="M252" s="8">
        <v>8</v>
      </c>
      <c r="N252">
        <f t="shared" si="114"/>
        <v>2027</v>
      </c>
      <c r="O252" s="8">
        <f t="shared" si="115"/>
        <v>29522552</v>
      </c>
      <c r="P252" s="9">
        <f t="shared" si="116"/>
        <v>249096.53250000003</v>
      </c>
      <c r="Q252" s="5">
        <f t="shared" si="117"/>
        <v>249096.53250000003</v>
      </c>
      <c r="R252" s="5">
        <f t="shared" si="118"/>
        <v>62274.133125000008</v>
      </c>
      <c r="S252" s="8">
        <f t="shared" si="119"/>
        <v>6.3052106505231578</v>
      </c>
      <c r="T252" s="7">
        <f t="shared" si="120"/>
        <v>5.5636076807511071E-2</v>
      </c>
    </row>
    <row r="253" spans="1:20" hidden="1" x14ac:dyDescent="0.25">
      <c r="A253" t="str">
        <f t="shared" si="112"/>
        <v>43830Bond</v>
      </c>
      <c r="B253" t="str">
        <f t="shared" si="113"/>
        <v>43830JBS</v>
      </c>
      <c r="C253" s="4">
        <v>43830</v>
      </c>
      <c r="D253" t="s">
        <v>60</v>
      </c>
      <c r="E253" t="s">
        <v>35</v>
      </c>
      <c r="F253" t="s">
        <v>35</v>
      </c>
      <c r="G253" t="s">
        <v>34</v>
      </c>
      <c r="H253" s="13">
        <f>76414+5656083</f>
        <v>5732497</v>
      </c>
      <c r="I253" s="4">
        <f t="shared" si="121"/>
        <v>47115</v>
      </c>
      <c r="J253" t="s">
        <v>54</v>
      </c>
      <c r="L253" s="14">
        <v>6.5000000000000002E-2</v>
      </c>
      <c r="M253" s="8">
        <v>9</v>
      </c>
      <c r="N253">
        <f t="shared" si="114"/>
        <v>2028</v>
      </c>
      <c r="O253" s="8">
        <f t="shared" si="115"/>
        <v>51592473</v>
      </c>
      <c r="P253" s="9">
        <f t="shared" si="116"/>
        <v>372612.30499999999</v>
      </c>
      <c r="Q253" s="5">
        <f t="shared" si="117"/>
        <v>372612.30499999999</v>
      </c>
      <c r="R253" s="5">
        <f t="shared" si="118"/>
        <v>93153.076249999998</v>
      </c>
      <c r="S253" s="8">
        <f t="shared" si="119"/>
        <v>6.3052106505231578</v>
      </c>
      <c r="T253" s="7">
        <f t="shared" si="120"/>
        <v>5.5636076807511071E-2</v>
      </c>
    </row>
    <row r="254" spans="1:20" hidden="1" x14ac:dyDescent="0.25">
      <c r="A254" t="str">
        <f t="shared" si="112"/>
        <v>43830Bond</v>
      </c>
      <c r="B254" t="str">
        <f t="shared" si="113"/>
        <v>43830JBS</v>
      </c>
      <c r="C254" s="4">
        <v>43830</v>
      </c>
      <c r="D254" t="s">
        <v>60</v>
      </c>
      <c r="E254" t="s">
        <v>35</v>
      </c>
      <c r="F254" t="s">
        <v>35</v>
      </c>
      <c r="G254" t="s">
        <v>34</v>
      </c>
      <c r="H254" s="13">
        <f>110844+4993702</f>
        <v>5104546</v>
      </c>
      <c r="I254" s="4">
        <f t="shared" si="121"/>
        <v>47480</v>
      </c>
      <c r="J254" t="s">
        <v>54</v>
      </c>
      <c r="L254" s="14">
        <v>5.5E-2</v>
      </c>
      <c r="M254" s="8">
        <v>10</v>
      </c>
      <c r="N254">
        <f t="shared" si="114"/>
        <v>2029</v>
      </c>
      <c r="O254" s="8">
        <f t="shared" si="115"/>
        <v>51045460</v>
      </c>
      <c r="P254" s="9">
        <f t="shared" si="116"/>
        <v>280750.03000000003</v>
      </c>
      <c r="Q254" s="5">
        <f t="shared" si="117"/>
        <v>280750.03000000003</v>
      </c>
      <c r="R254" s="5">
        <f t="shared" si="118"/>
        <v>70187.507500000007</v>
      </c>
      <c r="S254" s="8">
        <f t="shared" si="119"/>
        <v>6.3052106505231578</v>
      </c>
      <c r="T254" s="7">
        <f t="shared" si="120"/>
        <v>5.5636076807511071E-2</v>
      </c>
    </row>
    <row r="255" spans="1:20" hidden="1" x14ac:dyDescent="0.25">
      <c r="A255" t="str">
        <f t="shared" si="112"/>
        <v>43830Term Loan</v>
      </c>
      <c r="B255" t="str">
        <f t="shared" si="113"/>
        <v>43830JBS</v>
      </c>
      <c r="C255" s="4">
        <v>43830</v>
      </c>
      <c r="D255" t="s">
        <v>60</v>
      </c>
      <c r="E255" t="s">
        <v>68</v>
      </c>
      <c r="F255" t="s">
        <v>68</v>
      </c>
      <c r="G255" t="s">
        <v>34</v>
      </c>
      <c r="H255" s="13">
        <f>101465+7448644</f>
        <v>7550109</v>
      </c>
      <c r="I255" s="4">
        <f t="shared" si="121"/>
        <v>46020</v>
      </c>
      <c r="J255" t="s">
        <v>37</v>
      </c>
      <c r="L255" s="14">
        <v>3.6999999999999998E-2</v>
      </c>
      <c r="M255" s="8">
        <v>6</v>
      </c>
      <c r="N255">
        <f t="shared" si="114"/>
        <v>2025</v>
      </c>
      <c r="O255" s="8">
        <f t="shared" si="115"/>
        <v>45300654</v>
      </c>
      <c r="P255" s="9">
        <f t="shared" si="116"/>
        <v>279354.033</v>
      </c>
      <c r="Q255" s="5">
        <f t="shared" si="117"/>
        <v>279354.033</v>
      </c>
      <c r="R255" s="5">
        <f t="shared" si="118"/>
        <v>69838.508249999999</v>
      </c>
      <c r="S255" s="8">
        <f t="shared" si="119"/>
        <v>6.3052106505231578</v>
      </c>
      <c r="T255" s="7">
        <f t="shared" si="120"/>
        <v>5.5636076807511071E-2</v>
      </c>
    </row>
    <row r="256" spans="1:20" hidden="1" x14ac:dyDescent="0.25">
      <c r="A256" t="str">
        <f t="shared" si="112"/>
        <v>43830Term Loan</v>
      </c>
      <c r="B256" t="str">
        <f t="shared" si="113"/>
        <v>43830JBS</v>
      </c>
      <c r="C256" s="4">
        <v>43830</v>
      </c>
      <c r="D256" t="s">
        <v>60</v>
      </c>
      <c r="E256" t="s">
        <v>68</v>
      </c>
      <c r="F256" t="s">
        <v>68</v>
      </c>
      <c r="G256" t="s">
        <v>34</v>
      </c>
      <c r="H256" s="13">
        <f>105149+1778933</f>
        <v>1884082</v>
      </c>
      <c r="I256" s="4">
        <f t="shared" si="121"/>
        <v>44925</v>
      </c>
      <c r="J256" t="s">
        <v>37</v>
      </c>
      <c r="L256" s="14">
        <v>2.93E-2</v>
      </c>
      <c r="M256" s="8">
        <v>3</v>
      </c>
      <c r="N256">
        <f t="shared" si="114"/>
        <v>2022</v>
      </c>
      <c r="O256" s="8">
        <f t="shared" si="115"/>
        <v>5652246</v>
      </c>
      <c r="P256" s="9">
        <f t="shared" si="116"/>
        <v>55203.602599999998</v>
      </c>
      <c r="Q256" s="5">
        <f t="shared" si="117"/>
        <v>55203.602599999998</v>
      </c>
      <c r="R256" s="5">
        <f t="shared" si="118"/>
        <v>13800.90065</v>
      </c>
      <c r="S256" s="8">
        <f t="shared" si="119"/>
        <v>6.3052106505231578</v>
      </c>
      <c r="T256" s="7">
        <f t="shared" si="120"/>
        <v>5.5636076807511071E-2</v>
      </c>
    </row>
    <row r="257" spans="1:20" hidden="1" x14ac:dyDescent="0.25">
      <c r="A257" t="str">
        <f t="shared" si="112"/>
        <v>43830KG</v>
      </c>
      <c r="B257" t="str">
        <f t="shared" si="113"/>
        <v>43830JBS</v>
      </c>
      <c r="C257" s="4">
        <v>43830</v>
      </c>
      <c r="D257" t="s">
        <v>60</v>
      </c>
      <c r="E257" t="s">
        <v>46</v>
      </c>
      <c r="F257" t="s">
        <v>46</v>
      </c>
      <c r="G257" t="s">
        <v>23</v>
      </c>
      <c r="H257" s="13">
        <f>14899+37946</f>
        <v>52845</v>
      </c>
      <c r="I257" s="4">
        <f t="shared" si="121"/>
        <v>45290</v>
      </c>
      <c r="J257" t="s">
        <v>24</v>
      </c>
      <c r="L257" s="14">
        <v>9.0999999999999998E-2</v>
      </c>
      <c r="M257" s="8">
        <v>4</v>
      </c>
      <c r="N257">
        <f t="shared" si="114"/>
        <v>2023</v>
      </c>
      <c r="O257" s="8">
        <f t="shared" si="115"/>
        <v>211380</v>
      </c>
      <c r="P257" s="9">
        <f t="shared" si="116"/>
        <v>4808.8949999999995</v>
      </c>
      <c r="Q257" s="5">
        <f t="shared" si="117"/>
        <v>4808.8949999999995</v>
      </c>
      <c r="R257" s="5">
        <f t="shared" si="118"/>
        <v>1202.2237499999999</v>
      </c>
      <c r="S257" s="8">
        <f t="shared" si="119"/>
        <v>6.3052106505231578</v>
      </c>
      <c r="T257" s="7">
        <f t="shared" si="120"/>
        <v>5.5636076807511071E-2</v>
      </c>
    </row>
    <row r="258" spans="1:20" hidden="1" x14ac:dyDescent="0.25">
      <c r="A258" t="str">
        <f t="shared" si="112"/>
        <v>43830KG</v>
      </c>
      <c r="B258" t="str">
        <f t="shared" si="113"/>
        <v>43830JBS</v>
      </c>
      <c r="C258" s="4">
        <v>43830</v>
      </c>
      <c r="D258" t="s">
        <v>60</v>
      </c>
      <c r="E258" t="s">
        <v>46</v>
      </c>
      <c r="F258" t="s">
        <v>46</v>
      </c>
      <c r="G258" t="s">
        <v>34</v>
      </c>
      <c r="H258" s="13">
        <v>0</v>
      </c>
      <c r="I258" s="4">
        <f t="shared" si="121"/>
        <v>43830</v>
      </c>
      <c r="J258" t="s">
        <v>54</v>
      </c>
      <c r="L258" s="14">
        <v>0</v>
      </c>
      <c r="M258" s="8">
        <v>0</v>
      </c>
      <c r="N258">
        <f t="shared" si="114"/>
        <v>2019</v>
      </c>
      <c r="O258" s="8">
        <f t="shared" si="115"/>
        <v>0</v>
      </c>
      <c r="P258" s="9">
        <f t="shared" si="116"/>
        <v>0</v>
      </c>
      <c r="Q258" s="5">
        <f t="shared" si="117"/>
        <v>0</v>
      </c>
      <c r="R258" s="5">
        <f t="shared" si="118"/>
        <v>0</v>
      </c>
      <c r="S258" s="8">
        <f t="shared" si="119"/>
        <v>6.3052106505231578</v>
      </c>
      <c r="T258" s="7">
        <f t="shared" si="120"/>
        <v>5.5636076807511071E-2</v>
      </c>
    </row>
    <row r="259" spans="1:20" hidden="1" x14ac:dyDescent="0.25">
      <c r="A259" t="str">
        <f t="shared" si="112"/>
        <v>43830KG</v>
      </c>
      <c r="B259" t="str">
        <f t="shared" si="113"/>
        <v>43830JBS</v>
      </c>
      <c r="C259" s="4">
        <v>43830</v>
      </c>
      <c r="D259" t="s">
        <v>60</v>
      </c>
      <c r="E259" t="s">
        <v>46</v>
      </c>
      <c r="F259" t="s">
        <v>46</v>
      </c>
      <c r="G259" t="s">
        <v>63</v>
      </c>
      <c r="H259" s="13">
        <f>77552+3828</f>
        <v>81380</v>
      </c>
      <c r="I259" s="4">
        <f t="shared" si="121"/>
        <v>44377.5</v>
      </c>
      <c r="J259" t="s">
        <v>64</v>
      </c>
      <c r="L259" s="14">
        <v>1.04E-2</v>
      </c>
      <c r="M259" s="8">
        <v>1.5</v>
      </c>
      <c r="N259">
        <f t="shared" si="114"/>
        <v>2021</v>
      </c>
      <c r="O259" s="8">
        <f t="shared" si="115"/>
        <v>122070</v>
      </c>
      <c r="P259" s="9">
        <f t="shared" si="116"/>
        <v>846.35199999999998</v>
      </c>
      <c r="Q259" s="5">
        <f t="shared" si="117"/>
        <v>846.35199999999998</v>
      </c>
      <c r="R259" s="5">
        <f t="shared" si="118"/>
        <v>211.58799999999999</v>
      </c>
      <c r="S259" s="8">
        <f t="shared" si="119"/>
        <v>6.3052106505231578</v>
      </c>
      <c r="T259" s="7">
        <f t="shared" si="120"/>
        <v>5.5636076807511071E-2</v>
      </c>
    </row>
    <row r="260" spans="1:20" hidden="1" x14ac:dyDescent="0.25">
      <c r="A260" t="str">
        <f t="shared" si="112"/>
        <v>43830NCE</v>
      </c>
      <c r="B260" t="str">
        <f t="shared" si="113"/>
        <v>43830JBS</v>
      </c>
      <c r="C260" s="4">
        <v>43830</v>
      </c>
      <c r="D260" t="s">
        <v>60</v>
      </c>
      <c r="E260" t="s">
        <v>31</v>
      </c>
      <c r="F260" t="s">
        <v>31</v>
      </c>
      <c r="G260" t="s">
        <v>23</v>
      </c>
      <c r="H260" s="13">
        <f>62867+140000</f>
        <v>202867</v>
      </c>
      <c r="I260" s="4">
        <f t="shared" si="121"/>
        <v>45290</v>
      </c>
      <c r="J260" t="s">
        <v>24</v>
      </c>
      <c r="L260" s="14">
        <v>5.96E-2</v>
      </c>
      <c r="M260" s="8">
        <v>4</v>
      </c>
      <c r="N260">
        <f t="shared" si="114"/>
        <v>2023</v>
      </c>
      <c r="O260" s="8">
        <f t="shared" si="115"/>
        <v>811468</v>
      </c>
      <c r="P260" s="9">
        <f t="shared" si="116"/>
        <v>12090.8732</v>
      </c>
      <c r="Q260" s="5">
        <f t="shared" si="117"/>
        <v>12090.8732</v>
      </c>
      <c r="R260" s="5">
        <f t="shared" si="118"/>
        <v>3022.7183</v>
      </c>
      <c r="S260" s="8">
        <f t="shared" si="119"/>
        <v>6.3052106505231578</v>
      </c>
      <c r="T260" s="7">
        <f t="shared" si="120"/>
        <v>5.5636076807511071E-2</v>
      </c>
    </row>
    <row r="261" spans="1:20" hidden="1" x14ac:dyDescent="0.25">
      <c r="A261" t="str">
        <f t="shared" si="112"/>
        <v>43830CDC</v>
      </c>
      <c r="B261" t="str">
        <f t="shared" si="113"/>
        <v>43830JBS</v>
      </c>
      <c r="C261" s="4">
        <v>43830</v>
      </c>
      <c r="D261" t="s">
        <v>60</v>
      </c>
      <c r="E261" t="s">
        <v>69</v>
      </c>
      <c r="F261" t="s">
        <v>69</v>
      </c>
      <c r="G261" t="s">
        <v>23</v>
      </c>
      <c r="H261" s="13">
        <f>92119+164072</f>
        <v>256191</v>
      </c>
      <c r="I261" s="4">
        <f t="shared" si="121"/>
        <v>44742.5</v>
      </c>
      <c r="J261" t="s">
        <v>54</v>
      </c>
      <c r="L261" s="14">
        <v>0.1124</v>
      </c>
      <c r="M261" s="8">
        <v>2.5</v>
      </c>
      <c r="N261">
        <f t="shared" si="114"/>
        <v>2022</v>
      </c>
      <c r="O261" s="8">
        <f t="shared" si="115"/>
        <v>640477.5</v>
      </c>
      <c r="P261" s="9">
        <f t="shared" si="116"/>
        <v>28795.868399999999</v>
      </c>
      <c r="Q261" s="5">
        <f t="shared" si="117"/>
        <v>28795.868399999999</v>
      </c>
      <c r="R261" s="5">
        <f t="shared" si="118"/>
        <v>7198.9670999999998</v>
      </c>
      <c r="S261" s="8">
        <f t="shared" si="119"/>
        <v>6.3052106505231578</v>
      </c>
      <c r="T261" s="7">
        <f t="shared" si="120"/>
        <v>5.5636076807511071E-2</v>
      </c>
    </row>
    <row r="262" spans="1:20" hidden="1" x14ac:dyDescent="0.25">
      <c r="A262" t="str">
        <f t="shared" si="112"/>
        <v>43830ACC</v>
      </c>
      <c r="B262" t="str">
        <f t="shared" si="113"/>
        <v>43830JBS</v>
      </c>
      <c r="C262" s="4">
        <v>43830</v>
      </c>
      <c r="D262" t="s">
        <v>60</v>
      </c>
      <c r="E262" t="s">
        <v>33</v>
      </c>
      <c r="F262" t="s">
        <v>33</v>
      </c>
      <c r="G262" t="s">
        <v>34</v>
      </c>
      <c r="H262" s="13">
        <v>0</v>
      </c>
      <c r="I262" s="4">
        <f t="shared" si="121"/>
        <v>43830</v>
      </c>
      <c r="J262" t="s">
        <v>54</v>
      </c>
      <c r="L262" s="14">
        <v>0</v>
      </c>
      <c r="M262" s="8">
        <v>0</v>
      </c>
      <c r="N262">
        <f t="shared" si="114"/>
        <v>2019</v>
      </c>
      <c r="O262" s="8">
        <f t="shared" si="115"/>
        <v>0</v>
      </c>
      <c r="P262" s="9">
        <f t="shared" si="116"/>
        <v>0</v>
      </c>
      <c r="Q262" s="5">
        <f t="shared" si="117"/>
        <v>0</v>
      </c>
      <c r="R262" s="5">
        <f t="shared" si="118"/>
        <v>0</v>
      </c>
      <c r="S262" s="8">
        <f t="shared" si="119"/>
        <v>6.3052106505231578</v>
      </c>
      <c r="T262" s="7">
        <f t="shared" si="120"/>
        <v>5.5636076807511071E-2</v>
      </c>
    </row>
    <row r="263" spans="1:20" hidden="1" x14ac:dyDescent="0.25">
      <c r="A263" t="str">
        <f t="shared" si="112"/>
        <v>43830Custeio</v>
      </c>
      <c r="B263" t="str">
        <f t="shared" si="113"/>
        <v>43830JBS</v>
      </c>
      <c r="C263" s="4">
        <v>43830</v>
      </c>
      <c r="D263" t="s">
        <v>60</v>
      </c>
      <c r="E263" t="s">
        <v>70</v>
      </c>
      <c r="F263" t="s">
        <v>70</v>
      </c>
      <c r="G263" t="s">
        <v>23</v>
      </c>
      <c r="H263" s="13">
        <f>405176+100000</f>
        <v>505176</v>
      </c>
      <c r="I263" s="4">
        <f t="shared" si="121"/>
        <v>44560</v>
      </c>
      <c r="J263" t="s">
        <v>54</v>
      </c>
      <c r="L263" s="14">
        <v>4.9700000000000001E-2</v>
      </c>
      <c r="M263" s="8">
        <v>2</v>
      </c>
      <c r="N263">
        <f t="shared" si="114"/>
        <v>2021</v>
      </c>
      <c r="O263" s="8">
        <f t="shared" si="115"/>
        <v>1010352</v>
      </c>
      <c r="P263" s="9">
        <f t="shared" si="116"/>
        <v>25107.247200000002</v>
      </c>
      <c r="Q263" s="5">
        <f t="shared" si="117"/>
        <v>25107.247200000002</v>
      </c>
      <c r="R263" s="5">
        <f t="shared" si="118"/>
        <v>6276.8118000000004</v>
      </c>
      <c r="S263" s="8">
        <f t="shared" si="119"/>
        <v>6.3052106505231578</v>
      </c>
      <c r="T263" s="7">
        <f t="shared" si="120"/>
        <v>5.5636076807511071E-2</v>
      </c>
    </row>
    <row r="264" spans="1:20" hidden="1" x14ac:dyDescent="0.25">
      <c r="A264" t="str">
        <f t="shared" si="112"/>
        <v>43830CRA</v>
      </c>
      <c r="B264" t="str">
        <f t="shared" si="113"/>
        <v>43830JBS</v>
      </c>
      <c r="C264" s="4">
        <v>43830</v>
      </c>
      <c r="D264" t="s">
        <v>60</v>
      </c>
      <c r="E264" t="s">
        <v>48</v>
      </c>
      <c r="F264" t="s">
        <v>48</v>
      </c>
      <c r="G264" t="s">
        <v>23</v>
      </c>
      <c r="H264" s="13">
        <f>6104+552041</f>
        <v>558145</v>
      </c>
      <c r="I264" s="4">
        <f t="shared" si="121"/>
        <v>45107.5</v>
      </c>
      <c r="J264" t="s">
        <v>71</v>
      </c>
      <c r="L264" s="14">
        <v>5.5800000000000002E-2</v>
      </c>
      <c r="M264" s="8">
        <v>3.5</v>
      </c>
      <c r="N264">
        <f t="shared" si="114"/>
        <v>2023</v>
      </c>
      <c r="O264" s="8">
        <f t="shared" si="115"/>
        <v>1953507.5</v>
      </c>
      <c r="P264" s="9">
        <f t="shared" si="116"/>
        <v>31144.491000000002</v>
      </c>
      <c r="Q264" s="5">
        <f t="shared" si="117"/>
        <v>31144.491000000002</v>
      </c>
      <c r="R264" s="5">
        <f t="shared" si="118"/>
        <v>7786.1227500000005</v>
      </c>
      <c r="S264" s="8">
        <f t="shared" si="119"/>
        <v>6.3052106505231578</v>
      </c>
      <c r="T264" s="7">
        <f t="shared" si="120"/>
        <v>5.5636076807511071E-2</v>
      </c>
    </row>
    <row r="265" spans="1:20" hidden="1" x14ac:dyDescent="0.25">
      <c r="A265" t="str">
        <f t="shared" si="112"/>
        <v>43830Scott</v>
      </c>
      <c r="B265" t="str">
        <f t="shared" si="113"/>
        <v>43830JBS</v>
      </c>
      <c r="C265" s="4">
        <v>43830</v>
      </c>
      <c r="D265" t="s">
        <v>60</v>
      </c>
      <c r="E265" t="s">
        <v>65</v>
      </c>
      <c r="F265" t="s">
        <v>65</v>
      </c>
      <c r="G265" t="s">
        <v>34</v>
      </c>
      <c r="H265" s="13">
        <f>52693+2289</f>
        <v>54982</v>
      </c>
      <c r="I265" s="4">
        <f t="shared" si="121"/>
        <v>44195</v>
      </c>
      <c r="J265" t="s">
        <v>54</v>
      </c>
      <c r="L265" s="14">
        <v>4.9500000000000002E-2</v>
      </c>
      <c r="M265" s="8">
        <v>1</v>
      </c>
      <c r="N265">
        <f t="shared" si="114"/>
        <v>2020</v>
      </c>
      <c r="O265" s="8">
        <f t="shared" si="115"/>
        <v>54982</v>
      </c>
      <c r="P265" s="9">
        <f t="shared" si="116"/>
        <v>2721.6089999999999</v>
      </c>
      <c r="Q265" s="5">
        <f t="shared" si="117"/>
        <v>2721.6089999999999</v>
      </c>
      <c r="R265" s="5">
        <f t="shared" si="118"/>
        <v>680.40224999999998</v>
      </c>
      <c r="S265" s="8">
        <f t="shared" si="119"/>
        <v>6.3052106505231578</v>
      </c>
      <c r="T265" s="7">
        <f t="shared" si="120"/>
        <v>5.5636076807511071E-2</v>
      </c>
    </row>
    <row r="266" spans="1:20" hidden="1" x14ac:dyDescent="0.25">
      <c r="A266" t="str">
        <f t="shared" si="112"/>
        <v>43830Confinamento</v>
      </c>
      <c r="B266" t="str">
        <f t="shared" si="113"/>
        <v>43830JBS</v>
      </c>
      <c r="C266" s="4">
        <v>43830</v>
      </c>
      <c r="D266" t="s">
        <v>60</v>
      </c>
      <c r="E266" t="s">
        <v>72</v>
      </c>
      <c r="F266" t="s">
        <v>72</v>
      </c>
      <c r="G266" t="s">
        <v>73</v>
      </c>
      <c r="H266" s="13">
        <v>109816</v>
      </c>
      <c r="I266" s="4">
        <f t="shared" si="121"/>
        <v>44925</v>
      </c>
      <c r="J266" t="s">
        <v>54</v>
      </c>
      <c r="L266" s="14">
        <v>7.0000000000000007E-2</v>
      </c>
      <c r="M266" s="8">
        <v>3</v>
      </c>
      <c r="N266">
        <f t="shared" si="114"/>
        <v>2022</v>
      </c>
      <c r="O266" s="8">
        <f t="shared" si="115"/>
        <v>329448</v>
      </c>
      <c r="P266" s="9">
        <f t="shared" si="116"/>
        <v>7687.1200000000008</v>
      </c>
      <c r="Q266" s="5">
        <f t="shared" si="117"/>
        <v>7687.1200000000008</v>
      </c>
      <c r="R266" s="5">
        <f t="shared" si="118"/>
        <v>1921.7800000000002</v>
      </c>
      <c r="S266" s="8">
        <f t="shared" si="119"/>
        <v>6.3052106505231578</v>
      </c>
      <c r="T266" s="7">
        <f t="shared" si="120"/>
        <v>5.5636076807511071E-2</v>
      </c>
    </row>
    <row r="267" spans="1:20" hidden="1" x14ac:dyDescent="0.25">
      <c r="A267" t="str">
        <f t="shared" si="112"/>
        <v>43830Outros</v>
      </c>
      <c r="B267" t="str">
        <f t="shared" si="113"/>
        <v>43830JBS</v>
      </c>
      <c r="C267" s="4">
        <v>43830</v>
      </c>
      <c r="D267" t="s">
        <v>60</v>
      </c>
      <c r="E267" t="s">
        <v>28</v>
      </c>
      <c r="F267" t="s">
        <v>28</v>
      </c>
      <c r="G267" t="s">
        <v>34</v>
      </c>
      <c r="H267" s="13">
        <f>21993+37248</f>
        <v>59241</v>
      </c>
      <c r="I267" s="4">
        <f t="shared" si="121"/>
        <v>44377.5</v>
      </c>
      <c r="J267" t="s">
        <v>37</v>
      </c>
      <c r="L267" s="14">
        <v>1.6500000000000001E-2</v>
      </c>
      <c r="M267" s="8">
        <v>1.5</v>
      </c>
      <c r="N267">
        <f t="shared" si="114"/>
        <v>2021</v>
      </c>
      <c r="O267" s="8">
        <f t="shared" si="115"/>
        <v>88861.5</v>
      </c>
      <c r="P267" s="9">
        <f t="shared" si="116"/>
        <v>977.4765000000001</v>
      </c>
      <c r="Q267" s="5">
        <f t="shared" si="117"/>
        <v>977.4765000000001</v>
      </c>
      <c r="R267" s="5">
        <f t="shared" si="118"/>
        <v>244.36912500000003</v>
      </c>
      <c r="S267" s="8">
        <f t="shared" si="119"/>
        <v>6.3052106505231578</v>
      </c>
      <c r="T267" s="7">
        <f t="shared" si="120"/>
        <v>5.5636076807511071E-2</v>
      </c>
    </row>
    <row r="268" spans="1:20" hidden="1" x14ac:dyDescent="0.25"/>
    <row r="269" spans="1:20" hidden="1" x14ac:dyDescent="0.25">
      <c r="A269" t="str">
        <f t="shared" ref="A269:A296" si="122">C269&amp;F269</f>
        <v>43921ACC</v>
      </c>
      <c r="B269" t="str">
        <f t="shared" ref="B269:B296" si="123">C269&amp;D269</f>
        <v>43921JBS</v>
      </c>
      <c r="C269" s="4">
        <v>43921</v>
      </c>
      <c r="D269" t="s">
        <v>60</v>
      </c>
      <c r="E269" t="s">
        <v>33</v>
      </c>
      <c r="F269" t="s">
        <v>33</v>
      </c>
      <c r="G269" t="s">
        <v>34</v>
      </c>
      <c r="H269" s="5">
        <v>867555</v>
      </c>
      <c r="I269" s="4">
        <f>C269+365*M269</f>
        <v>44286</v>
      </c>
      <c r="J269" t="s">
        <v>37</v>
      </c>
      <c r="L269" s="7">
        <v>3.4099999999999998E-2</v>
      </c>
      <c r="M269" s="8">
        <v>1</v>
      </c>
      <c r="N269">
        <f t="shared" ref="N269:N296" si="124">YEAR(I269)</f>
        <v>2021</v>
      </c>
      <c r="O269" s="8">
        <f t="shared" ref="O269:O296" si="125">M269*H269</f>
        <v>867555</v>
      </c>
      <c r="P269" s="9">
        <f t="shared" ref="P269:P296" si="126">L269*H269</f>
        <v>29583.625499999998</v>
      </c>
      <c r="Q269" s="5">
        <f t="shared" ref="Q269:Q296" si="127">H269*L269</f>
        <v>29583.625499999998</v>
      </c>
      <c r="R269" s="5">
        <f t="shared" ref="R269:R296" si="128">Q269/4</f>
        <v>7395.9063749999996</v>
      </c>
      <c r="S269" s="8">
        <f t="shared" ref="S269:S296" si="129">SUMIFS($O:$O,$C:$C,$C269,$D:$D,D269)/SUMIFS($H:$H,$C:$C,$C269,$D:$D,D269)</f>
        <v>5.9646919464639909</v>
      </c>
      <c r="T269" s="7">
        <f t="shared" ref="T269:T296" si="130">SUMIFS($P:$P,$C:$C,$C269,$D:$D,D269)/SUMIFS($H:$H,$C:$C,$C269,$D:$D,D269)</f>
        <v>5.305142449633353E-2</v>
      </c>
    </row>
    <row r="270" spans="1:20" hidden="1" x14ac:dyDescent="0.25">
      <c r="A270" t="str">
        <f t="shared" si="122"/>
        <v>43921PPE</v>
      </c>
      <c r="B270" t="str">
        <f t="shared" si="123"/>
        <v>43921JBS</v>
      </c>
      <c r="C270" s="4">
        <v>43921</v>
      </c>
      <c r="D270" t="s">
        <v>60</v>
      </c>
      <c r="E270" t="s">
        <v>36</v>
      </c>
      <c r="F270" t="s">
        <v>36</v>
      </c>
      <c r="G270" t="s">
        <v>34</v>
      </c>
      <c r="H270" s="13">
        <v>3356638</v>
      </c>
      <c r="I270" s="4">
        <f t="shared" ref="I270:I296" si="131">C270+365*M270</f>
        <v>44468.5</v>
      </c>
      <c r="J270" t="s">
        <v>37</v>
      </c>
      <c r="L270" s="14">
        <v>3.5700000000000003E-2</v>
      </c>
      <c r="M270" s="8">
        <v>1.5</v>
      </c>
      <c r="N270">
        <f t="shared" si="124"/>
        <v>2021</v>
      </c>
      <c r="O270" s="8">
        <f t="shared" si="125"/>
        <v>5034957</v>
      </c>
      <c r="P270" s="9">
        <f t="shared" si="126"/>
        <v>119831.97660000001</v>
      </c>
      <c r="Q270" s="5">
        <f t="shared" si="127"/>
        <v>119831.97660000001</v>
      </c>
      <c r="R270" s="5">
        <f t="shared" si="128"/>
        <v>29957.994150000002</v>
      </c>
      <c r="S270" s="8">
        <f t="shared" si="129"/>
        <v>5.9646919464639909</v>
      </c>
      <c r="T270" s="7">
        <f t="shared" si="130"/>
        <v>5.305142449633353E-2</v>
      </c>
    </row>
    <row r="271" spans="1:20" hidden="1" x14ac:dyDescent="0.25">
      <c r="A271" t="str">
        <f t="shared" si="122"/>
        <v>43921Bond</v>
      </c>
      <c r="B271" t="str">
        <f t="shared" si="123"/>
        <v>43921JBS</v>
      </c>
      <c r="C271" s="4">
        <v>43921</v>
      </c>
      <c r="D271" t="s">
        <v>60</v>
      </c>
      <c r="E271" t="s">
        <v>35</v>
      </c>
      <c r="F271" t="s">
        <v>35</v>
      </c>
      <c r="G271" t="s">
        <v>34</v>
      </c>
      <c r="H271" s="13">
        <v>2230929</v>
      </c>
      <c r="I271" s="4">
        <f t="shared" si="131"/>
        <v>45016</v>
      </c>
      <c r="J271" t="s">
        <v>54</v>
      </c>
      <c r="L271" s="14">
        <v>6.25E-2</v>
      </c>
      <c r="M271" s="8">
        <v>3</v>
      </c>
      <c r="N271">
        <f t="shared" si="124"/>
        <v>2023</v>
      </c>
      <c r="O271" s="8">
        <f t="shared" si="125"/>
        <v>6692787</v>
      </c>
      <c r="P271" s="9">
        <f t="shared" si="126"/>
        <v>139433.0625</v>
      </c>
      <c r="Q271" s="5">
        <f t="shared" si="127"/>
        <v>139433.0625</v>
      </c>
      <c r="R271" s="5">
        <f t="shared" si="128"/>
        <v>34858.265625</v>
      </c>
      <c r="S271" s="8">
        <f t="shared" si="129"/>
        <v>5.9646919464639909</v>
      </c>
      <c r="T271" s="7">
        <f t="shared" si="130"/>
        <v>5.305142449633353E-2</v>
      </c>
    </row>
    <row r="272" spans="1:20" hidden="1" x14ac:dyDescent="0.25">
      <c r="A272" t="str">
        <f t="shared" si="122"/>
        <v>43921Bond</v>
      </c>
      <c r="B272" t="str">
        <f t="shared" si="123"/>
        <v>43921JBS</v>
      </c>
      <c r="C272" s="4">
        <v>43921</v>
      </c>
      <c r="D272" t="s">
        <v>60</v>
      </c>
      <c r="E272" t="s">
        <v>35</v>
      </c>
      <c r="F272" t="s">
        <v>35</v>
      </c>
      <c r="G272" t="s">
        <v>34</v>
      </c>
      <c r="H272" s="13">
        <v>5242680</v>
      </c>
      <c r="I272" s="4">
        <f t="shared" si="131"/>
        <v>46111</v>
      </c>
      <c r="J272" t="s">
        <v>54</v>
      </c>
      <c r="L272" s="14">
        <v>7.0000000000000007E-2</v>
      </c>
      <c r="M272" s="8">
        <v>6</v>
      </c>
      <c r="N272">
        <f t="shared" si="124"/>
        <v>2026</v>
      </c>
      <c r="O272" s="8">
        <f t="shared" si="125"/>
        <v>31456080</v>
      </c>
      <c r="P272" s="9">
        <f t="shared" si="126"/>
        <v>366987.60000000003</v>
      </c>
      <c r="Q272" s="5">
        <f t="shared" si="127"/>
        <v>366987.60000000003</v>
      </c>
      <c r="R272" s="5">
        <f t="shared" si="128"/>
        <v>91746.900000000009</v>
      </c>
      <c r="S272" s="8">
        <f t="shared" si="129"/>
        <v>5.9646919464639909</v>
      </c>
      <c r="T272" s="7">
        <f t="shared" si="130"/>
        <v>5.305142449633353E-2</v>
      </c>
    </row>
    <row r="273" spans="1:20" hidden="1" x14ac:dyDescent="0.25">
      <c r="A273" t="str">
        <f t="shared" si="122"/>
        <v>43921Bond</v>
      </c>
      <c r="B273" t="str">
        <f t="shared" si="123"/>
        <v>43921JBS</v>
      </c>
      <c r="C273" s="4">
        <v>43921</v>
      </c>
      <c r="D273" t="s">
        <v>60</v>
      </c>
      <c r="E273" t="s">
        <v>35</v>
      </c>
      <c r="F273" t="s">
        <v>35</v>
      </c>
      <c r="G273" t="s">
        <v>34</v>
      </c>
      <c r="H273" s="13">
        <v>3915985</v>
      </c>
      <c r="I273" s="4">
        <f t="shared" si="131"/>
        <v>46841</v>
      </c>
      <c r="J273" t="s">
        <v>54</v>
      </c>
      <c r="L273" s="14">
        <v>5.7500000000000002E-2</v>
      </c>
      <c r="M273" s="8">
        <v>8</v>
      </c>
      <c r="N273">
        <f t="shared" si="124"/>
        <v>2028</v>
      </c>
      <c r="O273" s="8">
        <f t="shared" si="125"/>
        <v>31327880</v>
      </c>
      <c r="P273" s="9">
        <f t="shared" si="126"/>
        <v>225169.13750000001</v>
      </c>
      <c r="Q273" s="5">
        <f t="shared" si="127"/>
        <v>225169.13750000001</v>
      </c>
      <c r="R273" s="5">
        <f t="shared" si="128"/>
        <v>56292.284375000003</v>
      </c>
      <c r="S273" s="8">
        <f t="shared" si="129"/>
        <v>5.9646919464639909</v>
      </c>
      <c r="T273" s="7">
        <f t="shared" si="130"/>
        <v>5.305142449633353E-2</v>
      </c>
    </row>
    <row r="274" spans="1:20" hidden="1" x14ac:dyDescent="0.25">
      <c r="A274" t="str">
        <f t="shared" si="122"/>
        <v>43921Finimp</v>
      </c>
      <c r="B274" t="str">
        <f t="shared" si="123"/>
        <v>43921JBS</v>
      </c>
      <c r="C274" s="4">
        <v>43921</v>
      </c>
      <c r="D274" t="s">
        <v>60</v>
      </c>
      <c r="E274" t="s">
        <v>62</v>
      </c>
      <c r="F274" t="s">
        <v>62</v>
      </c>
      <c r="G274" t="s">
        <v>63</v>
      </c>
      <c r="H274" s="13">
        <v>110013</v>
      </c>
      <c r="I274" s="4">
        <f t="shared" si="131"/>
        <v>44468.5</v>
      </c>
      <c r="J274" t="s">
        <v>64</v>
      </c>
      <c r="L274" s="14">
        <v>2.1000000000000001E-2</v>
      </c>
      <c r="M274" s="8">
        <v>1.5</v>
      </c>
      <c r="N274">
        <f t="shared" si="124"/>
        <v>2021</v>
      </c>
      <c r="O274" s="8">
        <f t="shared" si="125"/>
        <v>165019.5</v>
      </c>
      <c r="P274" s="9">
        <f t="shared" si="126"/>
        <v>2310.2730000000001</v>
      </c>
      <c r="Q274" s="5">
        <f t="shared" si="127"/>
        <v>2310.2730000000001</v>
      </c>
      <c r="R274" s="5">
        <f t="shared" si="128"/>
        <v>577.56825000000003</v>
      </c>
      <c r="S274" s="8">
        <f t="shared" si="129"/>
        <v>5.9646919464639909</v>
      </c>
      <c r="T274" s="7">
        <f t="shared" si="130"/>
        <v>5.305142449633353E-2</v>
      </c>
    </row>
    <row r="275" spans="1:20" hidden="1" x14ac:dyDescent="0.25">
      <c r="A275" t="str">
        <f t="shared" si="122"/>
        <v>43921Scott</v>
      </c>
      <c r="B275" t="str">
        <f t="shared" si="123"/>
        <v>43921JBS</v>
      </c>
      <c r="C275" s="4">
        <v>43921</v>
      </c>
      <c r="D275" t="s">
        <v>60</v>
      </c>
      <c r="E275" t="s">
        <v>65</v>
      </c>
      <c r="F275" t="s">
        <v>65</v>
      </c>
      <c r="G275" t="s">
        <v>34</v>
      </c>
      <c r="H275" s="13">
        <v>9098</v>
      </c>
      <c r="I275" s="4">
        <f t="shared" si="131"/>
        <v>45016</v>
      </c>
      <c r="J275" t="s">
        <v>54</v>
      </c>
      <c r="L275" s="14">
        <v>4.9700000000000001E-2</v>
      </c>
      <c r="M275" s="8">
        <v>3</v>
      </c>
      <c r="N275">
        <f t="shared" si="124"/>
        <v>2023</v>
      </c>
      <c r="O275" s="8">
        <f t="shared" si="125"/>
        <v>27294</v>
      </c>
      <c r="P275" s="9">
        <f t="shared" si="126"/>
        <v>452.17060000000004</v>
      </c>
      <c r="Q275" s="5">
        <f t="shared" si="127"/>
        <v>452.17060000000004</v>
      </c>
      <c r="R275" s="5">
        <f t="shared" si="128"/>
        <v>113.04265000000001</v>
      </c>
      <c r="S275" s="8">
        <f t="shared" si="129"/>
        <v>5.9646919464639909</v>
      </c>
      <c r="T275" s="7">
        <f t="shared" si="130"/>
        <v>5.305142449633353E-2</v>
      </c>
    </row>
    <row r="276" spans="1:20" hidden="1" x14ac:dyDescent="0.25">
      <c r="A276" t="str">
        <f t="shared" si="122"/>
        <v>43921Finame</v>
      </c>
      <c r="B276" t="str">
        <f t="shared" si="123"/>
        <v>43921JBS</v>
      </c>
      <c r="C276" s="4">
        <v>43921</v>
      </c>
      <c r="D276" t="s">
        <v>60</v>
      </c>
      <c r="E276" t="s">
        <v>66</v>
      </c>
      <c r="F276" t="s">
        <v>66</v>
      </c>
      <c r="G276" t="s">
        <v>23</v>
      </c>
      <c r="H276" s="13">
        <v>29129</v>
      </c>
      <c r="I276" s="4">
        <f t="shared" si="131"/>
        <v>43921</v>
      </c>
      <c r="J276" t="s">
        <v>44</v>
      </c>
      <c r="L276" s="14">
        <v>5.7599999999999998E-2</v>
      </c>
      <c r="M276" s="8">
        <v>0</v>
      </c>
      <c r="N276">
        <f t="shared" si="124"/>
        <v>2020</v>
      </c>
      <c r="O276" s="8">
        <f t="shared" si="125"/>
        <v>0</v>
      </c>
      <c r="P276" s="9">
        <f t="shared" si="126"/>
        <v>1677.8304000000001</v>
      </c>
      <c r="Q276" s="5">
        <f t="shared" si="127"/>
        <v>1677.8304000000001</v>
      </c>
      <c r="R276" s="5">
        <f t="shared" si="128"/>
        <v>419.45760000000001</v>
      </c>
      <c r="S276" s="8">
        <f t="shared" si="129"/>
        <v>5.9646919464639909</v>
      </c>
      <c r="T276" s="7">
        <f t="shared" si="130"/>
        <v>5.305142449633353E-2</v>
      </c>
    </row>
    <row r="277" spans="1:20" hidden="1" x14ac:dyDescent="0.25">
      <c r="A277" t="str">
        <f t="shared" si="122"/>
        <v>43921FINEP</v>
      </c>
      <c r="B277" t="str">
        <f t="shared" si="123"/>
        <v>43921JBS</v>
      </c>
      <c r="C277" s="4">
        <v>43921</v>
      </c>
      <c r="D277" t="s">
        <v>60</v>
      </c>
      <c r="E277" t="s">
        <v>67</v>
      </c>
      <c r="F277" t="s">
        <v>67</v>
      </c>
      <c r="G277" t="s">
        <v>23</v>
      </c>
      <c r="H277" s="13">
        <v>53080</v>
      </c>
      <c r="I277" s="4">
        <f t="shared" si="131"/>
        <v>44651</v>
      </c>
      <c r="J277" t="s">
        <v>54</v>
      </c>
      <c r="L277" s="14">
        <v>6.7699999999999996E-2</v>
      </c>
      <c r="M277" s="8">
        <v>2</v>
      </c>
      <c r="N277">
        <f t="shared" si="124"/>
        <v>2022</v>
      </c>
      <c r="O277" s="8">
        <f t="shared" si="125"/>
        <v>106160</v>
      </c>
      <c r="P277" s="9">
        <f t="shared" si="126"/>
        <v>3593.5159999999996</v>
      </c>
      <c r="Q277" s="5">
        <f t="shared" si="127"/>
        <v>3593.5159999999996</v>
      </c>
      <c r="R277" s="5">
        <f t="shared" si="128"/>
        <v>898.37899999999991</v>
      </c>
      <c r="S277" s="8">
        <f t="shared" si="129"/>
        <v>5.9646919464639909</v>
      </c>
      <c r="T277" s="7">
        <f t="shared" si="130"/>
        <v>5.305142449633353E-2</v>
      </c>
    </row>
    <row r="278" spans="1:20" hidden="1" x14ac:dyDescent="0.25">
      <c r="A278" t="str">
        <f t="shared" si="122"/>
        <v>43921Sec Bond</v>
      </c>
      <c r="B278" t="str">
        <f t="shared" si="123"/>
        <v>43921JBS</v>
      </c>
      <c r="C278" s="4">
        <v>43921</v>
      </c>
      <c r="D278" t="s">
        <v>60</v>
      </c>
      <c r="E278" t="s">
        <v>35</v>
      </c>
      <c r="F278" t="s">
        <v>74</v>
      </c>
      <c r="G278" t="s">
        <v>34</v>
      </c>
      <c r="H278" s="13">
        <v>2575010</v>
      </c>
      <c r="I278" s="4">
        <f t="shared" si="131"/>
        <v>44651</v>
      </c>
      <c r="J278" t="s">
        <v>37</v>
      </c>
      <c r="L278" s="14">
        <v>2.1299999999999999E-2</v>
      </c>
      <c r="M278" s="8">
        <v>2</v>
      </c>
      <c r="N278">
        <f t="shared" si="124"/>
        <v>2022</v>
      </c>
      <c r="O278" s="8">
        <f t="shared" si="125"/>
        <v>5150020</v>
      </c>
      <c r="P278" s="9">
        <f t="shared" si="126"/>
        <v>54847.712999999996</v>
      </c>
      <c r="Q278" s="5">
        <f t="shared" si="127"/>
        <v>54847.712999999996</v>
      </c>
      <c r="R278" s="5">
        <f t="shared" si="128"/>
        <v>13711.928249999999</v>
      </c>
      <c r="S278" s="8">
        <f t="shared" si="129"/>
        <v>5.9646919464639909</v>
      </c>
      <c r="T278" s="7">
        <f t="shared" si="130"/>
        <v>5.305142449633353E-2</v>
      </c>
    </row>
    <row r="279" spans="1:20" hidden="1" x14ac:dyDescent="0.25">
      <c r="A279" t="str">
        <f t="shared" si="122"/>
        <v>43921Bond</v>
      </c>
      <c r="B279" t="str">
        <f t="shared" si="123"/>
        <v>43921JBS</v>
      </c>
      <c r="C279" s="4">
        <v>43921</v>
      </c>
      <c r="D279" t="s">
        <v>60</v>
      </c>
      <c r="E279" t="s">
        <v>35</v>
      </c>
      <c r="F279" t="s">
        <v>35</v>
      </c>
      <c r="G279" t="s">
        <v>34</v>
      </c>
      <c r="H279" s="13">
        <v>4726549</v>
      </c>
      <c r="I279" s="4">
        <f t="shared" si="131"/>
        <v>45016</v>
      </c>
      <c r="J279" t="s">
        <v>54</v>
      </c>
      <c r="L279" s="14">
        <v>5.8799999999999998E-2</v>
      </c>
      <c r="M279" s="8">
        <v>3</v>
      </c>
      <c r="N279">
        <f t="shared" si="124"/>
        <v>2023</v>
      </c>
      <c r="O279" s="8">
        <f t="shared" si="125"/>
        <v>14179647</v>
      </c>
      <c r="P279" s="9">
        <f t="shared" si="126"/>
        <v>277921.08120000002</v>
      </c>
      <c r="Q279" s="5">
        <f t="shared" si="127"/>
        <v>277921.08120000002</v>
      </c>
      <c r="R279" s="5">
        <f t="shared" si="128"/>
        <v>69480.270300000004</v>
      </c>
      <c r="S279" s="8">
        <f t="shared" si="129"/>
        <v>5.9646919464639909</v>
      </c>
      <c r="T279" s="7">
        <f t="shared" si="130"/>
        <v>5.305142449633353E-2</v>
      </c>
    </row>
    <row r="280" spans="1:20" hidden="1" x14ac:dyDescent="0.25">
      <c r="A280" t="str">
        <f t="shared" si="122"/>
        <v>43921Bond</v>
      </c>
      <c r="B280" t="str">
        <f t="shared" si="123"/>
        <v>43921JBS</v>
      </c>
      <c r="C280" s="4">
        <v>43921</v>
      </c>
      <c r="D280" t="s">
        <v>60</v>
      </c>
      <c r="E280" t="s">
        <v>35</v>
      </c>
      <c r="F280" t="s">
        <v>35</v>
      </c>
      <c r="G280" t="s">
        <v>34</v>
      </c>
      <c r="H280" s="13">
        <v>5533355</v>
      </c>
      <c r="I280" s="4">
        <f t="shared" si="131"/>
        <v>45381</v>
      </c>
      <c r="J280" t="s">
        <v>54</v>
      </c>
      <c r="L280" s="14">
        <v>5.7500000000000002E-2</v>
      </c>
      <c r="M280" s="8">
        <v>4</v>
      </c>
      <c r="N280">
        <f t="shared" si="124"/>
        <v>2024</v>
      </c>
      <c r="O280" s="8">
        <f t="shared" si="125"/>
        <v>22133420</v>
      </c>
      <c r="P280" s="9">
        <f t="shared" si="126"/>
        <v>318167.91250000003</v>
      </c>
      <c r="Q280" s="5">
        <f t="shared" si="127"/>
        <v>318167.91250000003</v>
      </c>
      <c r="R280" s="5">
        <f t="shared" si="128"/>
        <v>79541.978125000009</v>
      </c>
      <c r="S280" s="8">
        <f t="shared" si="129"/>
        <v>5.9646919464639909</v>
      </c>
      <c r="T280" s="7">
        <f t="shared" si="130"/>
        <v>5.305142449633353E-2</v>
      </c>
    </row>
    <row r="281" spans="1:20" hidden="1" x14ac:dyDescent="0.25">
      <c r="A281" t="str">
        <f t="shared" si="122"/>
        <v>43921Bond</v>
      </c>
      <c r="B281" t="str">
        <f t="shared" si="123"/>
        <v>43921JBS</v>
      </c>
      <c r="C281" s="4">
        <v>43921</v>
      </c>
      <c r="D281" t="s">
        <v>60</v>
      </c>
      <c r="E281" t="s">
        <v>35</v>
      </c>
      <c r="F281" t="s">
        <v>35</v>
      </c>
      <c r="G281" t="s">
        <v>34</v>
      </c>
      <c r="H281" s="13">
        <v>5191120</v>
      </c>
      <c r="I281" s="4">
        <f t="shared" si="131"/>
        <v>45746</v>
      </c>
      <c r="J281" t="s">
        <v>54</v>
      </c>
      <c r="L281" s="14">
        <v>5.7500000000000002E-2</v>
      </c>
      <c r="M281" s="8">
        <v>5</v>
      </c>
      <c r="N281">
        <f t="shared" si="124"/>
        <v>2025</v>
      </c>
      <c r="O281" s="8">
        <f t="shared" si="125"/>
        <v>25955600</v>
      </c>
      <c r="P281" s="9">
        <f t="shared" si="126"/>
        <v>298489.40000000002</v>
      </c>
      <c r="Q281" s="5">
        <f t="shared" si="127"/>
        <v>298489.40000000002</v>
      </c>
      <c r="R281" s="5">
        <f t="shared" si="128"/>
        <v>74622.350000000006</v>
      </c>
      <c r="S281" s="8">
        <f t="shared" si="129"/>
        <v>5.9646919464639909</v>
      </c>
      <c r="T281" s="7">
        <f t="shared" si="130"/>
        <v>5.305142449633353E-2</v>
      </c>
    </row>
    <row r="282" spans="1:20" hidden="1" x14ac:dyDescent="0.25">
      <c r="A282" t="str">
        <f t="shared" si="122"/>
        <v>43921Bond</v>
      </c>
      <c r="B282" t="str">
        <f t="shared" si="123"/>
        <v>43921JBS</v>
      </c>
      <c r="C282" s="4">
        <v>43921</v>
      </c>
      <c r="D282" t="s">
        <v>60</v>
      </c>
      <c r="E282" t="s">
        <v>35</v>
      </c>
      <c r="F282" t="s">
        <v>35</v>
      </c>
      <c r="G282" t="s">
        <v>34</v>
      </c>
      <c r="H282" s="13">
        <v>4483395</v>
      </c>
      <c r="I282" s="4">
        <f t="shared" si="131"/>
        <v>45746</v>
      </c>
      <c r="J282" t="s">
        <v>54</v>
      </c>
      <c r="L282" s="14">
        <v>5.8799999999999998E-2</v>
      </c>
      <c r="M282" s="8">
        <v>5</v>
      </c>
      <c r="N282">
        <f t="shared" si="124"/>
        <v>2025</v>
      </c>
      <c r="O282" s="8">
        <f t="shared" si="125"/>
        <v>22416975</v>
      </c>
      <c r="P282" s="9">
        <f t="shared" si="126"/>
        <v>263623.62599999999</v>
      </c>
      <c r="Q282" s="5">
        <f t="shared" si="127"/>
        <v>263623.62599999999</v>
      </c>
      <c r="R282" s="5">
        <f t="shared" si="128"/>
        <v>65905.906499999997</v>
      </c>
      <c r="S282" s="8">
        <f t="shared" si="129"/>
        <v>5.9646919464639909</v>
      </c>
      <c r="T282" s="7">
        <f t="shared" si="130"/>
        <v>5.305142449633353E-2</v>
      </c>
    </row>
    <row r="283" spans="1:20" hidden="1" x14ac:dyDescent="0.25">
      <c r="A283" t="str">
        <f t="shared" si="122"/>
        <v>43921Bond</v>
      </c>
      <c r="B283" t="str">
        <f t="shared" si="123"/>
        <v>43921JBS</v>
      </c>
      <c r="C283" s="4">
        <v>43921</v>
      </c>
      <c r="D283" t="s">
        <v>60</v>
      </c>
      <c r="E283" t="s">
        <v>35</v>
      </c>
      <c r="F283" t="s">
        <v>35</v>
      </c>
      <c r="G283" t="s">
        <v>34</v>
      </c>
      <c r="H283" s="13">
        <v>4681897</v>
      </c>
      <c r="I283" s="4">
        <f t="shared" si="131"/>
        <v>46476</v>
      </c>
      <c r="J283" t="s">
        <v>54</v>
      </c>
      <c r="L283" s="14">
        <v>6.7500000000000004E-2</v>
      </c>
      <c r="M283" s="8">
        <v>7</v>
      </c>
      <c r="N283">
        <f t="shared" si="124"/>
        <v>2027</v>
      </c>
      <c r="O283" s="8">
        <f t="shared" si="125"/>
        <v>32773279</v>
      </c>
      <c r="P283" s="9">
        <f t="shared" si="126"/>
        <v>316028.04750000004</v>
      </c>
      <c r="Q283" s="5">
        <f t="shared" si="127"/>
        <v>316028.04750000004</v>
      </c>
      <c r="R283" s="5">
        <f t="shared" si="128"/>
        <v>79007.011875000011</v>
      </c>
      <c r="S283" s="8">
        <f t="shared" si="129"/>
        <v>5.9646919464639909</v>
      </c>
      <c r="T283" s="7">
        <f t="shared" si="130"/>
        <v>5.305142449633353E-2</v>
      </c>
    </row>
    <row r="284" spans="1:20" hidden="1" x14ac:dyDescent="0.25">
      <c r="A284" t="str">
        <f t="shared" si="122"/>
        <v>43921Bond</v>
      </c>
      <c r="B284" t="str">
        <f t="shared" si="123"/>
        <v>43921JBS</v>
      </c>
      <c r="C284" s="4">
        <v>43921</v>
      </c>
      <c r="D284" t="s">
        <v>60</v>
      </c>
      <c r="E284" t="s">
        <v>35</v>
      </c>
      <c r="F284" t="s">
        <v>35</v>
      </c>
      <c r="G284" t="s">
        <v>34</v>
      </c>
      <c r="H284" s="13">
        <v>7511465</v>
      </c>
      <c r="I284" s="4">
        <f t="shared" si="131"/>
        <v>46841</v>
      </c>
      <c r="J284" t="s">
        <v>54</v>
      </c>
      <c r="L284" s="14">
        <v>6.5000000000000002E-2</v>
      </c>
      <c r="M284" s="8">
        <v>8</v>
      </c>
      <c r="N284">
        <f t="shared" si="124"/>
        <v>2028</v>
      </c>
      <c r="O284" s="8">
        <f t="shared" si="125"/>
        <v>60091720</v>
      </c>
      <c r="P284" s="9">
        <f t="shared" si="126"/>
        <v>488245.22500000003</v>
      </c>
      <c r="Q284" s="5">
        <f t="shared" si="127"/>
        <v>488245.22500000003</v>
      </c>
      <c r="R284" s="5">
        <f t="shared" si="128"/>
        <v>122061.30625000001</v>
      </c>
      <c r="S284" s="8">
        <f t="shared" si="129"/>
        <v>5.9646919464639909</v>
      </c>
      <c r="T284" s="7">
        <f t="shared" si="130"/>
        <v>5.305142449633353E-2</v>
      </c>
    </row>
    <row r="285" spans="1:20" hidden="1" x14ac:dyDescent="0.25">
      <c r="A285" t="str">
        <f t="shared" si="122"/>
        <v>43921Bond</v>
      </c>
      <c r="B285" t="str">
        <f t="shared" si="123"/>
        <v>43921JBS</v>
      </c>
      <c r="C285" s="4">
        <v>43921</v>
      </c>
      <c r="D285" t="s">
        <v>60</v>
      </c>
      <c r="E285" t="s">
        <v>35</v>
      </c>
      <c r="F285" t="s">
        <v>35</v>
      </c>
      <c r="G285" t="s">
        <v>34</v>
      </c>
      <c r="H285" s="13">
        <v>6516658</v>
      </c>
      <c r="I285" s="4">
        <f t="shared" si="131"/>
        <v>47206</v>
      </c>
      <c r="J285" t="s">
        <v>54</v>
      </c>
      <c r="L285" s="14">
        <v>5.5E-2</v>
      </c>
      <c r="M285" s="8">
        <v>9</v>
      </c>
      <c r="N285">
        <f t="shared" si="124"/>
        <v>2029</v>
      </c>
      <c r="O285" s="8">
        <f t="shared" si="125"/>
        <v>58649922</v>
      </c>
      <c r="P285" s="9">
        <f t="shared" si="126"/>
        <v>358416.19</v>
      </c>
      <c r="Q285" s="5">
        <f t="shared" si="127"/>
        <v>358416.19</v>
      </c>
      <c r="R285" s="5">
        <f t="shared" si="128"/>
        <v>89604.047500000001</v>
      </c>
      <c r="S285" s="8">
        <f t="shared" si="129"/>
        <v>5.9646919464639909</v>
      </c>
      <c r="T285" s="7">
        <f t="shared" si="130"/>
        <v>5.305142449633353E-2</v>
      </c>
    </row>
    <row r="286" spans="1:20" hidden="1" x14ac:dyDescent="0.25">
      <c r="A286" t="str">
        <f t="shared" si="122"/>
        <v>43921Term Loan</v>
      </c>
      <c r="B286" t="str">
        <f t="shared" si="123"/>
        <v>43921JBS</v>
      </c>
      <c r="C286" s="4">
        <v>43921</v>
      </c>
      <c r="D286" t="s">
        <v>60</v>
      </c>
      <c r="E286" t="s">
        <v>68</v>
      </c>
      <c r="F286" t="s">
        <v>68</v>
      </c>
      <c r="G286" t="s">
        <v>34</v>
      </c>
      <c r="H286" s="13">
        <v>9719328</v>
      </c>
      <c r="I286" s="4">
        <f t="shared" si="131"/>
        <v>47571</v>
      </c>
      <c r="J286" t="s">
        <v>37</v>
      </c>
      <c r="L286" s="14">
        <v>3.5999999999999997E-2</v>
      </c>
      <c r="M286" s="8">
        <v>10</v>
      </c>
      <c r="N286">
        <f t="shared" si="124"/>
        <v>2030</v>
      </c>
      <c r="O286" s="8">
        <f t="shared" si="125"/>
        <v>97193280</v>
      </c>
      <c r="P286" s="9">
        <f t="shared" si="126"/>
        <v>349895.80799999996</v>
      </c>
      <c r="Q286" s="5">
        <f t="shared" si="127"/>
        <v>349895.80799999996</v>
      </c>
      <c r="R286" s="5">
        <f t="shared" si="128"/>
        <v>87473.95199999999</v>
      </c>
      <c r="S286" s="8">
        <f t="shared" si="129"/>
        <v>5.9646919464639909</v>
      </c>
      <c r="T286" s="7">
        <f t="shared" si="130"/>
        <v>5.305142449633353E-2</v>
      </c>
    </row>
    <row r="287" spans="1:20" hidden="1" x14ac:dyDescent="0.25">
      <c r="A287" t="str">
        <f t="shared" si="122"/>
        <v>43921Term Loan</v>
      </c>
      <c r="B287" t="str">
        <f t="shared" si="123"/>
        <v>43921JBS</v>
      </c>
      <c r="C287" s="4">
        <v>43921</v>
      </c>
      <c r="D287" t="s">
        <v>60</v>
      </c>
      <c r="E287" t="s">
        <v>68</v>
      </c>
      <c r="F287" t="s">
        <v>68</v>
      </c>
      <c r="G287" t="s">
        <v>34</v>
      </c>
      <c r="H287" s="13">
        <v>4220949</v>
      </c>
      <c r="I287" s="4">
        <f t="shared" si="131"/>
        <v>46111</v>
      </c>
      <c r="J287" t="s">
        <v>37</v>
      </c>
      <c r="L287" s="14">
        <v>2.52E-2</v>
      </c>
      <c r="M287" s="8">
        <v>6</v>
      </c>
      <c r="N287">
        <f t="shared" si="124"/>
        <v>2026</v>
      </c>
      <c r="O287" s="8">
        <f t="shared" si="125"/>
        <v>25325694</v>
      </c>
      <c r="P287" s="9">
        <f t="shared" si="126"/>
        <v>106367.9148</v>
      </c>
      <c r="Q287" s="5">
        <f t="shared" si="127"/>
        <v>106367.9148</v>
      </c>
      <c r="R287" s="5">
        <f t="shared" si="128"/>
        <v>26591.9787</v>
      </c>
      <c r="S287" s="8">
        <f t="shared" si="129"/>
        <v>5.9646919464639909</v>
      </c>
      <c r="T287" s="7">
        <f t="shared" si="130"/>
        <v>5.305142449633353E-2</v>
      </c>
    </row>
    <row r="288" spans="1:20" hidden="1" x14ac:dyDescent="0.25">
      <c r="A288" t="str">
        <f t="shared" si="122"/>
        <v>43921KG</v>
      </c>
      <c r="B288" t="str">
        <f t="shared" si="123"/>
        <v>43921JBS</v>
      </c>
      <c r="C288" s="4">
        <v>43921</v>
      </c>
      <c r="D288" t="s">
        <v>60</v>
      </c>
      <c r="E288" t="s">
        <v>46</v>
      </c>
      <c r="F288" t="s">
        <v>46</v>
      </c>
      <c r="G288" t="s">
        <v>23</v>
      </c>
      <c r="H288" s="13">
        <v>74479</v>
      </c>
      <c r="I288" s="4">
        <f t="shared" si="131"/>
        <v>45016</v>
      </c>
      <c r="J288" t="s">
        <v>24</v>
      </c>
      <c r="L288" s="14">
        <v>8.7400000000000005E-2</v>
      </c>
      <c r="M288" s="8">
        <v>3</v>
      </c>
      <c r="N288">
        <f t="shared" si="124"/>
        <v>2023</v>
      </c>
      <c r="O288" s="8">
        <f t="shared" si="125"/>
        <v>223437</v>
      </c>
      <c r="P288" s="9">
        <f t="shared" si="126"/>
        <v>6509.4646000000002</v>
      </c>
      <c r="Q288" s="5">
        <f t="shared" si="127"/>
        <v>6509.4646000000002</v>
      </c>
      <c r="R288" s="5">
        <f t="shared" si="128"/>
        <v>1627.3661500000001</v>
      </c>
      <c r="S288" s="8">
        <f t="shared" si="129"/>
        <v>5.9646919464639909</v>
      </c>
      <c r="T288" s="7">
        <f t="shared" si="130"/>
        <v>5.305142449633353E-2</v>
      </c>
    </row>
    <row r="289" spans="1:22" hidden="1" x14ac:dyDescent="0.25">
      <c r="A289" t="str">
        <f t="shared" si="122"/>
        <v>43921KG</v>
      </c>
      <c r="B289" t="str">
        <f t="shared" si="123"/>
        <v>43921JBS</v>
      </c>
      <c r="C289" s="4">
        <v>43921</v>
      </c>
      <c r="D289" t="s">
        <v>60</v>
      </c>
      <c r="E289" t="s">
        <v>46</v>
      </c>
      <c r="F289" t="s">
        <v>46</v>
      </c>
      <c r="G289" t="s">
        <v>63</v>
      </c>
      <c r="H289" s="13">
        <v>59847</v>
      </c>
      <c r="I289" s="4">
        <f t="shared" si="131"/>
        <v>44833.5</v>
      </c>
      <c r="J289" t="s">
        <v>64</v>
      </c>
      <c r="L289" s="14">
        <v>1.01E-2</v>
      </c>
      <c r="M289" s="8">
        <v>2.5</v>
      </c>
      <c r="N289">
        <f t="shared" si="124"/>
        <v>2022</v>
      </c>
      <c r="O289" s="8">
        <f t="shared" si="125"/>
        <v>149617.5</v>
      </c>
      <c r="P289" s="9">
        <f t="shared" si="126"/>
        <v>604.4547</v>
      </c>
      <c r="Q289" s="5">
        <f t="shared" si="127"/>
        <v>604.4547</v>
      </c>
      <c r="R289" s="5">
        <f t="shared" si="128"/>
        <v>151.113675</v>
      </c>
      <c r="S289" s="8">
        <f t="shared" si="129"/>
        <v>5.9646919464639909</v>
      </c>
      <c r="T289" s="7">
        <f t="shared" si="130"/>
        <v>5.305142449633353E-2</v>
      </c>
    </row>
    <row r="290" spans="1:22" hidden="1" x14ac:dyDescent="0.25">
      <c r="A290" t="str">
        <f t="shared" si="122"/>
        <v>43921NCE</v>
      </c>
      <c r="B290" t="str">
        <f t="shared" si="123"/>
        <v>43921JBS</v>
      </c>
      <c r="C290" s="4">
        <v>43921</v>
      </c>
      <c r="D290" t="s">
        <v>60</v>
      </c>
      <c r="E290" t="s">
        <v>31</v>
      </c>
      <c r="F290" t="s">
        <v>31</v>
      </c>
      <c r="G290" t="s">
        <v>23</v>
      </c>
      <c r="H290" s="13">
        <v>2634930</v>
      </c>
      <c r="I290" s="4">
        <f t="shared" si="131"/>
        <v>44833.5</v>
      </c>
      <c r="J290" t="s">
        <v>24</v>
      </c>
      <c r="L290" s="14">
        <v>6.6500000000000004E-2</v>
      </c>
      <c r="M290" s="8">
        <v>2.5</v>
      </c>
      <c r="N290">
        <f t="shared" si="124"/>
        <v>2022</v>
      </c>
      <c r="O290" s="8">
        <f t="shared" si="125"/>
        <v>6587325</v>
      </c>
      <c r="P290" s="9">
        <f t="shared" si="126"/>
        <v>175222.845</v>
      </c>
      <c r="Q290" s="5">
        <f t="shared" si="127"/>
        <v>175222.845</v>
      </c>
      <c r="R290" s="5">
        <f t="shared" si="128"/>
        <v>43805.71125</v>
      </c>
      <c r="S290" s="8">
        <f t="shared" si="129"/>
        <v>5.9646919464639909</v>
      </c>
      <c r="T290" s="7">
        <f t="shared" si="130"/>
        <v>5.305142449633353E-2</v>
      </c>
    </row>
    <row r="291" spans="1:22" hidden="1" x14ac:dyDescent="0.25">
      <c r="A291" t="str">
        <f t="shared" si="122"/>
        <v>43921CDC</v>
      </c>
      <c r="B291" t="str">
        <f t="shared" si="123"/>
        <v>43921JBS</v>
      </c>
      <c r="C291" s="4">
        <v>43921</v>
      </c>
      <c r="D291" t="s">
        <v>60</v>
      </c>
      <c r="E291" t="s">
        <v>69</v>
      </c>
      <c r="F291" t="s">
        <v>69</v>
      </c>
      <c r="G291" t="s">
        <v>23</v>
      </c>
      <c r="H291" s="13">
        <v>237589</v>
      </c>
      <c r="I291" s="4">
        <f t="shared" si="131"/>
        <v>44651</v>
      </c>
      <c r="J291" t="s">
        <v>54</v>
      </c>
      <c r="L291" s="14">
        <v>0.11219999999999999</v>
      </c>
      <c r="M291" s="8">
        <v>2</v>
      </c>
      <c r="N291">
        <f t="shared" si="124"/>
        <v>2022</v>
      </c>
      <c r="O291" s="8">
        <f t="shared" si="125"/>
        <v>475178</v>
      </c>
      <c r="P291" s="9">
        <f t="shared" si="126"/>
        <v>26657.485799999999</v>
      </c>
      <c r="Q291" s="5">
        <f t="shared" si="127"/>
        <v>26657.485799999999</v>
      </c>
      <c r="R291" s="5">
        <f t="shared" si="128"/>
        <v>6664.3714499999996</v>
      </c>
      <c r="S291" s="8">
        <f t="shared" si="129"/>
        <v>5.9646919464639909</v>
      </c>
      <c r="T291" s="7">
        <f t="shared" si="130"/>
        <v>5.305142449633353E-2</v>
      </c>
    </row>
    <row r="292" spans="1:22" hidden="1" x14ac:dyDescent="0.25">
      <c r="A292" t="str">
        <f t="shared" si="122"/>
        <v>43921Custeio</v>
      </c>
      <c r="B292" t="str">
        <f t="shared" si="123"/>
        <v>43921JBS</v>
      </c>
      <c r="C292" s="4">
        <v>43921</v>
      </c>
      <c r="D292" t="s">
        <v>60</v>
      </c>
      <c r="E292" t="s">
        <v>70</v>
      </c>
      <c r="F292" t="s">
        <v>70</v>
      </c>
      <c r="G292" t="s">
        <v>23</v>
      </c>
      <c r="H292" s="13">
        <v>572598</v>
      </c>
      <c r="I292" s="4">
        <f t="shared" si="131"/>
        <v>44651</v>
      </c>
      <c r="J292" t="s">
        <v>24</v>
      </c>
      <c r="L292" s="14">
        <v>4.5400000000000003E-2</v>
      </c>
      <c r="M292" s="8">
        <v>2</v>
      </c>
      <c r="N292">
        <f t="shared" si="124"/>
        <v>2022</v>
      </c>
      <c r="O292" s="8">
        <f t="shared" si="125"/>
        <v>1145196</v>
      </c>
      <c r="P292" s="9">
        <f t="shared" si="126"/>
        <v>25995.949200000003</v>
      </c>
      <c r="Q292" s="5">
        <f t="shared" si="127"/>
        <v>25995.949200000003</v>
      </c>
      <c r="R292" s="5">
        <f t="shared" si="128"/>
        <v>6498.9873000000007</v>
      </c>
      <c r="S292" s="8">
        <f t="shared" si="129"/>
        <v>5.9646919464639909</v>
      </c>
      <c r="T292" s="7">
        <f t="shared" si="130"/>
        <v>5.305142449633353E-2</v>
      </c>
    </row>
    <row r="293" spans="1:22" hidden="1" x14ac:dyDescent="0.25">
      <c r="A293" t="str">
        <f t="shared" si="122"/>
        <v>43921CRA</v>
      </c>
      <c r="B293" t="str">
        <f t="shared" si="123"/>
        <v>43921JBS</v>
      </c>
      <c r="C293" s="4">
        <v>43921</v>
      </c>
      <c r="D293" t="s">
        <v>60</v>
      </c>
      <c r="E293" t="s">
        <v>48</v>
      </c>
      <c r="F293" t="s">
        <v>48</v>
      </c>
      <c r="G293" t="s">
        <v>23</v>
      </c>
      <c r="H293" s="13">
        <v>571562</v>
      </c>
      <c r="I293" s="4">
        <f t="shared" si="131"/>
        <v>44468.5</v>
      </c>
      <c r="J293" t="s">
        <v>71</v>
      </c>
      <c r="L293" s="14">
        <v>5.5800000000000002E-2</v>
      </c>
      <c r="M293" s="8">
        <v>1.5</v>
      </c>
      <c r="N293">
        <f t="shared" si="124"/>
        <v>2021</v>
      </c>
      <c r="O293" s="8">
        <f t="shared" si="125"/>
        <v>857343</v>
      </c>
      <c r="P293" s="9">
        <f t="shared" si="126"/>
        <v>31893.159600000003</v>
      </c>
      <c r="Q293" s="5">
        <f t="shared" si="127"/>
        <v>31893.159600000003</v>
      </c>
      <c r="R293" s="5">
        <f t="shared" si="128"/>
        <v>7973.2899000000007</v>
      </c>
      <c r="S293" s="8">
        <f t="shared" si="129"/>
        <v>5.9646919464639909</v>
      </c>
      <c r="T293" s="7">
        <f t="shared" si="130"/>
        <v>5.305142449633353E-2</v>
      </c>
    </row>
    <row r="294" spans="1:22" hidden="1" x14ac:dyDescent="0.25">
      <c r="A294" t="str">
        <f t="shared" si="122"/>
        <v>43921Scott</v>
      </c>
      <c r="B294" t="str">
        <f t="shared" si="123"/>
        <v>43921JBS</v>
      </c>
      <c r="C294" s="4">
        <v>43921</v>
      </c>
      <c r="D294" t="s">
        <v>60</v>
      </c>
      <c r="E294" t="s">
        <v>65</v>
      </c>
      <c r="F294" t="s">
        <v>65</v>
      </c>
      <c r="G294" t="s">
        <v>34</v>
      </c>
      <c r="H294" s="13">
        <v>76983</v>
      </c>
      <c r="I294" s="4">
        <f t="shared" si="131"/>
        <v>45198.5</v>
      </c>
      <c r="J294" t="s">
        <v>54</v>
      </c>
      <c r="L294" s="14">
        <v>4.82E-2</v>
      </c>
      <c r="M294" s="8">
        <v>3.5</v>
      </c>
      <c r="N294">
        <f t="shared" si="124"/>
        <v>2023</v>
      </c>
      <c r="O294" s="8">
        <f t="shared" si="125"/>
        <v>269440.5</v>
      </c>
      <c r="P294" s="9">
        <f t="shared" si="126"/>
        <v>3710.5805999999998</v>
      </c>
      <c r="Q294" s="5">
        <f t="shared" si="127"/>
        <v>3710.5805999999998</v>
      </c>
      <c r="R294" s="5">
        <f t="shared" si="128"/>
        <v>927.64514999999994</v>
      </c>
      <c r="S294" s="8">
        <f t="shared" si="129"/>
        <v>5.9646919464639909</v>
      </c>
      <c r="T294" s="7">
        <f t="shared" si="130"/>
        <v>5.305142449633353E-2</v>
      </c>
    </row>
    <row r="295" spans="1:22" hidden="1" x14ac:dyDescent="0.25">
      <c r="A295" t="str">
        <f t="shared" si="122"/>
        <v>43921Confinamento</v>
      </c>
      <c r="B295" t="str">
        <f t="shared" si="123"/>
        <v>43921JBS</v>
      </c>
      <c r="C295" s="4">
        <v>43921</v>
      </c>
      <c r="D295" t="s">
        <v>60</v>
      </c>
      <c r="E295" t="s">
        <v>72</v>
      </c>
      <c r="F295" t="s">
        <v>72</v>
      </c>
      <c r="G295" t="s">
        <v>73</v>
      </c>
      <c r="H295" s="13">
        <v>125044</v>
      </c>
      <c r="I295" s="4">
        <f t="shared" si="131"/>
        <v>45016</v>
      </c>
      <c r="J295" t="s">
        <v>54</v>
      </c>
      <c r="L295" s="14">
        <v>7.0000000000000007E-2</v>
      </c>
      <c r="M295" s="8">
        <v>3</v>
      </c>
      <c r="N295">
        <f t="shared" si="124"/>
        <v>2023</v>
      </c>
      <c r="O295" s="8">
        <f t="shared" si="125"/>
        <v>375132</v>
      </c>
      <c r="P295" s="9">
        <f t="shared" si="126"/>
        <v>8753.08</v>
      </c>
      <c r="Q295" s="5">
        <f t="shared" si="127"/>
        <v>8753.08</v>
      </c>
      <c r="R295" s="5">
        <f t="shared" si="128"/>
        <v>2188.27</v>
      </c>
      <c r="S295" s="8">
        <f t="shared" si="129"/>
        <v>5.9646919464639909</v>
      </c>
      <c r="T295" s="7">
        <f t="shared" si="130"/>
        <v>5.305142449633353E-2</v>
      </c>
    </row>
    <row r="296" spans="1:22" hidden="1" x14ac:dyDescent="0.25">
      <c r="A296" t="str">
        <f t="shared" si="122"/>
        <v>43921Outros</v>
      </c>
      <c r="B296" t="str">
        <f t="shared" si="123"/>
        <v>43921JBS</v>
      </c>
      <c r="C296" s="4">
        <v>43921</v>
      </c>
      <c r="D296" t="s">
        <v>60</v>
      </c>
      <c r="E296" t="s">
        <v>28</v>
      </c>
      <c r="F296" t="s">
        <v>28</v>
      </c>
      <c r="G296" t="s">
        <v>34</v>
      </c>
      <c r="H296" s="13">
        <v>108763</v>
      </c>
      <c r="I296" s="4">
        <f t="shared" si="131"/>
        <v>45016</v>
      </c>
      <c r="J296" t="s">
        <v>37</v>
      </c>
      <c r="L296" s="14">
        <v>1.4999999999999999E-2</v>
      </c>
      <c r="M296" s="8">
        <v>3</v>
      </c>
      <c r="N296">
        <f t="shared" si="124"/>
        <v>2023</v>
      </c>
      <c r="O296" s="8">
        <f t="shared" si="125"/>
        <v>326289</v>
      </c>
      <c r="P296" s="9">
        <f t="shared" si="126"/>
        <v>1631.4449999999999</v>
      </c>
      <c r="Q296" s="5">
        <f t="shared" si="127"/>
        <v>1631.4449999999999</v>
      </c>
      <c r="R296" s="5">
        <f t="shared" si="128"/>
        <v>407.86124999999998</v>
      </c>
      <c r="S296" s="8">
        <f t="shared" si="129"/>
        <v>5.9646919464639909</v>
      </c>
      <c r="T296" s="7">
        <f t="shared" si="130"/>
        <v>5.305142449633353E-2</v>
      </c>
    </row>
    <row r="297" spans="1:22" hidden="1" x14ac:dyDescent="0.25"/>
    <row r="298" spans="1:22" x14ac:dyDescent="0.25">
      <c r="A298" t="str">
        <f>C298&amp;F298</f>
        <v>44012Debênture 5</v>
      </c>
      <c r="B298" t="str">
        <f>C298&amp;D298</f>
        <v>44012Minerva</v>
      </c>
      <c r="C298" s="4">
        <v>44012</v>
      </c>
      <c r="D298" t="s">
        <v>20</v>
      </c>
      <c r="E298" t="s">
        <v>21</v>
      </c>
      <c r="F298" t="s">
        <v>75</v>
      </c>
      <c r="G298" t="s">
        <v>23</v>
      </c>
      <c r="H298" s="5">
        <v>352378</v>
      </c>
      <c r="I298" s="4">
        <v>44106</v>
      </c>
      <c r="J298" t="s">
        <v>24</v>
      </c>
      <c r="K298" s="6">
        <v>1.0549999999999999</v>
      </c>
      <c r="L298" s="10">
        <f>K298*2.15%</f>
        <v>2.2682499999999998E-2</v>
      </c>
      <c r="M298" s="8">
        <f t="shared" ref="M298:M330" si="132">(I298-C298)/365</f>
        <v>0.25753424657534246</v>
      </c>
      <c r="N298">
        <f t="shared" ref="N298:N361" si="133">YEAR(I298)</f>
        <v>2020</v>
      </c>
      <c r="O298" s="8">
        <f t="shared" ref="O298:O361" si="134">M298*H298</f>
        <v>90749.402739726022</v>
      </c>
      <c r="P298" s="9">
        <f t="shared" ref="P298:P361" si="135">L298*H298</f>
        <v>7992.8139849999989</v>
      </c>
      <c r="Q298" s="5">
        <f t="shared" ref="Q298:Q361" si="136">H298*L298</f>
        <v>7992.8139849999989</v>
      </c>
      <c r="R298" s="5">
        <f t="shared" ref="R298:R361" si="137">Q298/4</f>
        <v>1998.2034962499997</v>
      </c>
      <c r="S298" s="8">
        <f t="shared" ref="S298:S361" si="138">SUMIFS($O:$O,$C:$C,$C298,$D:$D,D298)/SUMIFS($H:$H,$C:$C,$C298,$D:$D,D298)</f>
        <v>4.9202582335053213</v>
      </c>
      <c r="T298" s="7">
        <f t="shared" ref="T298:T361" si="139">SUMIFS($P:$P,$C:$C,$C298,$D:$D,D298)/SUMIFS($H:$H,$C:$C,$C298,$D:$D,D298)</f>
        <v>5.541709722342468E-2</v>
      </c>
      <c r="U298" s="8"/>
      <c r="V298" s="10"/>
    </row>
    <row r="299" spans="1:22" x14ac:dyDescent="0.25">
      <c r="A299" t="str">
        <f t="shared" ref="A299:A341" si="140">C299&amp;F299</f>
        <v>44012Debênture 6</v>
      </c>
      <c r="B299" t="str">
        <f t="shared" ref="B299:B341" si="141">C299&amp;D299</f>
        <v>44012Minerva</v>
      </c>
      <c r="C299" s="4">
        <v>44012</v>
      </c>
      <c r="D299" t="s">
        <v>20</v>
      </c>
      <c r="E299" t="s">
        <v>21</v>
      </c>
      <c r="F299" t="s">
        <v>76</v>
      </c>
      <c r="G299" t="s">
        <v>23</v>
      </c>
      <c r="H299" s="5">
        <v>398570</v>
      </c>
      <c r="I299" s="4">
        <v>44696</v>
      </c>
      <c r="J299" t="s">
        <v>24</v>
      </c>
      <c r="K299" s="10">
        <v>1.7999999999999999E-2</v>
      </c>
      <c r="L299" s="10">
        <f>K299+2.15%</f>
        <v>3.9499999999999993E-2</v>
      </c>
      <c r="M299" s="8">
        <f t="shared" si="132"/>
        <v>1.8739726027397261</v>
      </c>
      <c r="N299">
        <f t="shared" si="133"/>
        <v>2022</v>
      </c>
      <c r="O299" s="8">
        <f t="shared" si="134"/>
        <v>746909.26027397264</v>
      </c>
      <c r="P299" s="9">
        <f t="shared" si="135"/>
        <v>15743.514999999998</v>
      </c>
      <c r="Q299" s="5">
        <f t="shared" si="136"/>
        <v>15743.514999999998</v>
      </c>
      <c r="R299" s="5">
        <f t="shared" si="137"/>
        <v>3935.8787499999994</v>
      </c>
      <c r="S299" s="8">
        <f t="shared" si="138"/>
        <v>4.9202582335053213</v>
      </c>
      <c r="T299" s="7">
        <f t="shared" si="139"/>
        <v>5.541709722342468E-2</v>
      </c>
      <c r="U299" s="8"/>
      <c r="V299" s="11"/>
    </row>
    <row r="300" spans="1:22" s="30" customFormat="1" x14ac:dyDescent="0.25">
      <c r="A300" s="30" t="str">
        <f t="shared" si="140"/>
        <v>44012Debênture 7</v>
      </c>
      <c r="B300" s="30" t="str">
        <f t="shared" si="141"/>
        <v>44012Minerva</v>
      </c>
      <c r="C300" s="31">
        <v>44012</v>
      </c>
      <c r="D300" s="30" t="s">
        <v>20</v>
      </c>
      <c r="E300" s="30" t="s">
        <v>21</v>
      </c>
      <c r="F300" s="30" t="s">
        <v>77</v>
      </c>
      <c r="G300" s="30" t="s">
        <v>23</v>
      </c>
      <c r="H300" s="5">
        <v>508373</v>
      </c>
      <c r="I300" s="31">
        <v>45427</v>
      </c>
      <c r="J300" s="30" t="s">
        <v>27</v>
      </c>
      <c r="K300" s="32">
        <v>4.4999999999999998E-2</v>
      </c>
      <c r="L300" s="7">
        <v>8.7999999999999995E-2</v>
      </c>
      <c r="M300" s="8">
        <f t="shared" si="132"/>
        <v>3.8767123287671232</v>
      </c>
      <c r="N300" s="30">
        <f t="shared" si="133"/>
        <v>2024</v>
      </c>
      <c r="O300" s="8">
        <f t="shared" si="134"/>
        <v>1970815.8767123288</v>
      </c>
      <c r="P300" s="33">
        <f t="shared" si="135"/>
        <v>44736.824000000001</v>
      </c>
      <c r="Q300" s="5">
        <f t="shared" si="136"/>
        <v>44736.824000000001</v>
      </c>
      <c r="R300" s="5">
        <f t="shared" si="137"/>
        <v>11184.206</v>
      </c>
      <c r="S300" s="8">
        <f t="shared" si="138"/>
        <v>4.9202582335053213</v>
      </c>
      <c r="T300" s="7">
        <f t="shared" si="139"/>
        <v>5.541709722342468E-2</v>
      </c>
      <c r="U300" s="8"/>
      <c r="V300" s="34"/>
    </row>
    <row r="301" spans="1:22" s="30" customFormat="1" x14ac:dyDescent="0.25">
      <c r="A301" s="30" t="str">
        <f t="shared" si="140"/>
        <v>44012Debênture 8 - 1</v>
      </c>
      <c r="B301" s="30" t="str">
        <f t="shared" si="141"/>
        <v>44012Minerva</v>
      </c>
      <c r="C301" s="31">
        <v>44012</v>
      </c>
      <c r="D301" s="30" t="s">
        <v>20</v>
      </c>
      <c r="E301" s="30" t="s">
        <v>21</v>
      </c>
      <c r="F301" s="30" t="s">
        <v>78</v>
      </c>
      <c r="G301" s="30" t="s">
        <v>23</v>
      </c>
      <c r="H301" s="5">
        <v>387332</v>
      </c>
      <c r="I301" s="31">
        <v>45790</v>
      </c>
      <c r="J301" s="30" t="s">
        <v>79</v>
      </c>
      <c r="K301" s="32">
        <v>1.6</v>
      </c>
      <c r="L301" s="7">
        <f>K301*2.15%</f>
        <v>3.44E-2</v>
      </c>
      <c r="M301" s="8">
        <f t="shared" si="132"/>
        <v>4.8712328767123285</v>
      </c>
      <c r="N301" s="30">
        <f t="shared" si="133"/>
        <v>2025</v>
      </c>
      <c r="O301" s="8">
        <f t="shared" si="134"/>
        <v>1886784.3726027396</v>
      </c>
      <c r="P301" s="33">
        <f t="shared" si="135"/>
        <v>13324.220799999999</v>
      </c>
      <c r="Q301" s="5">
        <f t="shared" si="136"/>
        <v>13324.220799999999</v>
      </c>
      <c r="R301" s="5">
        <f t="shared" si="137"/>
        <v>3331.0551999999998</v>
      </c>
      <c r="S301" s="8">
        <f t="shared" si="138"/>
        <v>4.9202582335053213</v>
      </c>
      <c r="T301" s="7">
        <f t="shared" si="139"/>
        <v>5.541709722342468E-2</v>
      </c>
      <c r="U301" s="8"/>
      <c r="V301" s="34"/>
    </row>
    <row r="302" spans="1:22" s="30" customFormat="1" x14ac:dyDescent="0.25">
      <c r="A302" s="30" t="str">
        <f t="shared" si="140"/>
        <v>44012Debênture 8 - 2</v>
      </c>
      <c r="B302" s="30" t="str">
        <f t="shared" si="141"/>
        <v>44012Minerva</v>
      </c>
      <c r="C302" s="31">
        <v>44012</v>
      </c>
      <c r="D302" s="30" t="s">
        <v>20</v>
      </c>
      <c r="E302" s="30" t="s">
        <v>21</v>
      </c>
      <c r="F302" s="30" t="s">
        <v>80</v>
      </c>
      <c r="G302" s="30" t="s">
        <v>23</v>
      </c>
      <c r="H302" s="5">
        <v>193666</v>
      </c>
      <c r="I302" s="31">
        <v>46155</v>
      </c>
      <c r="J302" s="30" t="s">
        <v>79</v>
      </c>
      <c r="K302" s="32">
        <v>1.6</v>
      </c>
      <c r="L302" s="7">
        <f>K302*2.15%</f>
        <v>3.44E-2</v>
      </c>
      <c r="M302" s="8">
        <f t="shared" si="132"/>
        <v>5.8712328767123285</v>
      </c>
      <c r="N302" s="30">
        <f t="shared" si="133"/>
        <v>2026</v>
      </c>
      <c r="O302" s="8">
        <f t="shared" si="134"/>
        <v>1137058.1863013699</v>
      </c>
      <c r="P302" s="33">
        <f t="shared" si="135"/>
        <v>6662.1103999999996</v>
      </c>
      <c r="Q302" s="5">
        <f t="shared" si="136"/>
        <v>6662.1103999999996</v>
      </c>
      <c r="R302" s="5">
        <f t="shared" si="137"/>
        <v>1665.5275999999999</v>
      </c>
      <c r="S302" s="8">
        <f t="shared" si="138"/>
        <v>4.9202582335053213</v>
      </c>
      <c r="T302" s="7">
        <f t="shared" si="139"/>
        <v>5.541709722342468E-2</v>
      </c>
      <c r="U302" s="8"/>
      <c r="V302" s="34"/>
    </row>
    <row r="303" spans="1:22" s="30" customFormat="1" x14ac:dyDescent="0.25">
      <c r="A303" s="30" t="str">
        <f t="shared" si="140"/>
        <v>44012Debênture 9</v>
      </c>
      <c r="B303" s="30" t="str">
        <f t="shared" si="141"/>
        <v>44012Minerva</v>
      </c>
      <c r="C303" s="31">
        <v>44012</v>
      </c>
      <c r="D303" s="30" t="s">
        <v>20</v>
      </c>
      <c r="E303" s="30" t="s">
        <v>21</v>
      </c>
      <c r="F303" s="30" t="s">
        <v>81</v>
      </c>
      <c r="G303" s="30" t="s">
        <v>23</v>
      </c>
      <c r="H303" s="5">
        <v>585613</v>
      </c>
      <c r="I303" s="31">
        <v>45820</v>
      </c>
      <c r="J303" s="30" t="s">
        <v>79</v>
      </c>
      <c r="K303" s="32">
        <v>1.6</v>
      </c>
      <c r="L303" s="7">
        <f>K303*2.15%</f>
        <v>3.44E-2</v>
      </c>
      <c r="M303" s="8">
        <f t="shared" si="132"/>
        <v>4.9534246575342467</v>
      </c>
      <c r="N303" s="30">
        <f t="shared" si="133"/>
        <v>2025</v>
      </c>
      <c r="O303" s="8">
        <f t="shared" si="134"/>
        <v>2900789.8739726027</v>
      </c>
      <c r="P303" s="33">
        <f t="shared" si="135"/>
        <v>20145.087200000002</v>
      </c>
      <c r="Q303" s="5">
        <f t="shared" si="136"/>
        <v>20145.087200000002</v>
      </c>
      <c r="R303" s="5">
        <f t="shared" si="137"/>
        <v>5036.2718000000004</v>
      </c>
      <c r="S303" s="8">
        <f t="shared" si="138"/>
        <v>4.9202582335053213</v>
      </c>
      <c r="T303" s="7">
        <f t="shared" si="139"/>
        <v>5.541709722342468E-2</v>
      </c>
      <c r="U303" s="8"/>
      <c r="V303" s="34"/>
    </row>
    <row r="304" spans="1:22" s="30" customFormat="1" x14ac:dyDescent="0.25">
      <c r="A304" s="30" t="str">
        <f t="shared" si="140"/>
        <v>44012CCB</v>
      </c>
      <c r="B304" s="30" t="str">
        <f t="shared" si="141"/>
        <v>44012Minerva</v>
      </c>
      <c r="C304" s="31">
        <v>44012</v>
      </c>
      <c r="D304" s="30" t="s">
        <v>20</v>
      </c>
      <c r="E304" s="30" t="s">
        <v>28</v>
      </c>
      <c r="F304" s="30" t="s">
        <v>29</v>
      </c>
      <c r="G304" s="30" t="s">
        <v>23</v>
      </c>
      <c r="H304" s="5">
        <v>21111</v>
      </c>
      <c r="I304" s="31">
        <v>43983</v>
      </c>
      <c r="J304" s="30" t="s">
        <v>30</v>
      </c>
      <c r="K304" s="32">
        <v>8.3500000000000005E-2</v>
      </c>
      <c r="L304" s="32">
        <f>K304</f>
        <v>8.3500000000000005E-2</v>
      </c>
      <c r="M304" s="8">
        <f t="shared" si="132"/>
        <v>-7.9452054794520555E-2</v>
      </c>
      <c r="N304" s="30">
        <f t="shared" si="133"/>
        <v>2020</v>
      </c>
      <c r="O304" s="8">
        <f t="shared" si="134"/>
        <v>-1677.3123287671235</v>
      </c>
      <c r="P304" s="33">
        <f t="shared" si="135"/>
        <v>1762.7685000000001</v>
      </c>
      <c r="Q304" s="5">
        <f t="shared" si="136"/>
        <v>1762.7685000000001</v>
      </c>
      <c r="R304" s="5">
        <f t="shared" si="137"/>
        <v>440.69212500000003</v>
      </c>
      <c r="S304" s="8">
        <f t="shared" si="138"/>
        <v>4.9202582335053213</v>
      </c>
      <c r="T304" s="7">
        <f t="shared" si="139"/>
        <v>5.541709722342468E-2</v>
      </c>
      <c r="U304" s="8"/>
      <c r="V304" s="34"/>
    </row>
    <row r="305" spans="1:22" s="30" customFormat="1" x14ac:dyDescent="0.25">
      <c r="A305" s="30" t="str">
        <f t="shared" si="140"/>
        <v>44012CCB</v>
      </c>
      <c r="B305" s="30" t="str">
        <f t="shared" si="141"/>
        <v>44012Minerva</v>
      </c>
      <c r="C305" s="31">
        <v>44012</v>
      </c>
      <c r="D305" s="30" t="s">
        <v>20</v>
      </c>
      <c r="E305" s="30" t="s">
        <v>28</v>
      </c>
      <c r="F305" s="30" t="s">
        <v>29</v>
      </c>
      <c r="G305" s="30" t="s">
        <v>23</v>
      </c>
      <c r="H305" s="5">
        <v>50000</v>
      </c>
      <c r="I305" s="31">
        <v>44348</v>
      </c>
      <c r="J305" s="30" t="s">
        <v>30</v>
      </c>
      <c r="K305" s="32">
        <v>8.3500000000000005E-2</v>
      </c>
      <c r="L305" s="32">
        <f>K305</f>
        <v>8.3500000000000005E-2</v>
      </c>
      <c r="M305" s="8">
        <f t="shared" si="132"/>
        <v>0.92054794520547945</v>
      </c>
      <c r="N305" s="30">
        <f t="shared" si="133"/>
        <v>2021</v>
      </c>
      <c r="O305" s="8">
        <f t="shared" si="134"/>
        <v>46027.397260273974</v>
      </c>
      <c r="P305" s="33">
        <f t="shared" si="135"/>
        <v>4175</v>
      </c>
      <c r="Q305" s="5">
        <f t="shared" si="136"/>
        <v>4175</v>
      </c>
      <c r="R305" s="5">
        <f t="shared" si="137"/>
        <v>1043.75</v>
      </c>
      <c r="S305" s="8">
        <f t="shared" si="138"/>
        <v>4.9202582335053213</v>
      </c>
      <c r="T305" s="7">
        <f t="shared" si="139"/>
        <v>5.541709722342468E-2</v>
      </c>
      <c r="U305" s="8"/>
      <c r="V305" s="34"/>
    </row>
    <row r="306" spans="1:22" s="30" customFormat="1" x14ac:dyDescent="0.25">
      <c r="A306" s="30" t="str">
        <f t="shared" si="140"/>
        <v>44012CCB</v>
      </c>
      <c r="B306" s="30" t="str">
        <f t="shared" si="141"/>
        <v>44012Minerva</v>
      </c>
      <c r="C306" s="31">
        <v>44012</v>
      </c>
      <c r="D306" s="30" t="s">
        <v>20</v>
      </c>
      <c r="E306" s="30" t="s">
        <v>28</v>
      </c>
      <c r="F306" s="30" t="s">
        <v>29</v>
      </c>
      <c r="G306" s="30" t="s">
        <v>23</v>
      </c>
      <c r="H306" s="5">
        <v>303207</v>
      </c>
      <c r="I306" s="31">
        <v>44377</v>
      </c>
      <c r="J306" s="30" t="s">
        <v>24</v>
      </c>
      <c r="K306" s="32">
        <v>0.04</v>
      </c>
      <c r="L306" s="32">
        <f>K306</f>
        <v>0.04</v>
      </c>
      <c r="M306" s="8">
        <f t="shared" si="132"/>
        <v>1</v>
      </c>
      <c r="N306" s="30">
        <f t="shared" si="133"/>
        <v>2021</v>
      </c>
      <c r="O306" s="8">
        <f t="shared" si="134"/>
        <v>303207</v>
      </c>
      <c r="P306" s="33">
        <f t="shared" si="135"/>
        <v>12128.28</v>
      </c>
      <c r="Q306" s="5">
        <f t="shared" si="136"/>
        <v>12128.28</v>
      </c>
      <c r="R306" s="5">
        <f t="shared" si="137"/>
        <v>3032.07</v>
      </c>
      <c r="S306" s="8">
        <f t="shared" si="138"/>
        <v>4.9202582335053213</v>
      </c>
      <c r="T306" s="7">
        <f t="shared" si="139"/>
        <v>5.541709722342468E-2</v>
      </c>
      <c r="U306" s="8"/>
      <c r="V306" s="34"/>
    </row>
    <row r="307" spans="1:22" x14ac:dyDescent="0.25">
      <c r="A307" t="str">
        <f t="shared" si="140"/>
        <v>44012NCE</v>
      </c>
      <c r="B307" t="str">
        <f t="shared" si="141"/>
        <v>44012Minerva</v>
      </c>
      <c r="C307" s="4">
        <v>44012</v>
      </c>
      <c r="D307" t="s">
        <v>20</v>
      </c>
      <c r="E307" t="s">
        <v>31</v>
      </c>
      <c r="F307" t="s">
        <v>31</v>
      </c>
      <c r="G307" t="s">
        <v>23</v>
      </c>
      <c r="H307" s="5">
        <v>314481</v>
      </c>
      <c r="I307" s="4">
        <v>44377</v>
      </c>
      <c r="J307" t="s">
        <v>24</v>
      </c>
      <c r="K307" s="10">
        <v>0.04</v>
      </c>
      <c r="L307" s="7">
        <f>K307+2.15%</f>
        <v>6.1499999999999999E-2</v>
      </c>
      <c r="M307" s="8">
        <f t="shared" si="132"/>
        <v>1</v>
      </c>
      <c r="N307">
        <f t="shared" si="133"/>
        <v>2021</v>
      </c>
      <c r="O307" s="8">
        <f t="shared" si="134"/>
        <v>314481</v>
      </c>
      <c r="P307" s="9">
        <f t="shared" si="135"/>
        <v>19340.5815</v>
      </c>
      <c r="Q307" s="5">
        <f t="shared" si="136"/>
        <v>19340.5815</v>
      </c>
      <c r="R307" s="5">
        <f t="shared" si="137"/>
        <v>4835.1453750000001</v>
      </c>
      <c r="S307" s="8">
        <f t="shared" si="138"/>
        <v>4.9202582335053213</v>
      </c>
      <c r="T307" s="7">
        <f t="shared" si="139"/>
        <v>5.541709722342468E-2</v>
      </c>
      <c r="U307" s="8"/>
      <c r="V307" s="11"/>
    </row>
    <row r="308" spans="1:22" x14ac:dyDescent="0.25">
      <c r="A308" t="str">
        <f t="shared" si="140"/>
        <v>44012NCE</v>
      </c>
      <c r="B308" t="str">
        <f t="shared" si="141"/>
        <v>44012Minerva</v>
      </c>
      <c r="C308" s="4">
        <v>44012</v>
      </c>
      <c r="D308" t="s">
        <v>20</v>
      </c>
      <c r="E308" t="s">
        <v>31</v>
      </c>
      <c r="F308" t="s">
        <v>31</v>
      </c>
      <c r="G308" t="s">
        <v>23</v>
      </c>
      <c r="H308" s="5">
        <v>102667</v>
      </c>
      <c r="I308" s="4">
        <v>44348</v>
      </c>
      <c r="J308" t="s">
        <v>24</v>
      </c>
      <c r="K308" s="10">
        <v>0.03</v>
      </c>
      <c r="L308" s="7">
        <f>K308+2.15%</f>
        <v>5.1499999999999997E-2</v>
      </c>
      <c r="M308" s="8">
        <f t="shared" si="132"/>
        <v>0.92054794520547945</v>
      </c>
      <c r="N308">
        <f t="shared" si="133"/>
        <v>2021</v>
      </c>
      <c r="O308" s="8">
        <f t="shared" si="134"/>
        <v>94509.89589041096</v>
      </c>
      <c r="P308" s="9">
        <f t="shared" si="135"/>
        <v>5287.3504999999996</v>
      </c>
      <c r="Q308" s="5">
        <f t="shared" si="136"/>
        <v>5287.3504999999996</v>
      </c>
      <c r="R308" s="5">
        <f t="shared" si="137"/>
        <v>1321.8376249999999</v>
      </c>
      <c r="S308" s="8">
        <f t="shared" si="138"/>
        <v>4.9202582335053213</v>
      </c>
      <c r="T308" s="7">
        <f t="shared" si="139"/>
        <v>5.541709722342468E-2</v>
      </c>
      <c r="U308" s="8"/>
      <c r="V308" s="11"/>
    </row>
    <row r="309" spans="1:22" x14ac:dyDescent="0.25">
      <c r="A309" t="str">
        <f t="shared" si="140"/>
        <v>44012IFC</v>
      </c>
      <c r="B309" t="str">
        <f t="shared" si="141"/>
        <v>44012Minerva</v>
      </c>
      <c r="C309" s="4">
        <v>44012</v>
      </c>
      <c r="D309" t="s">
        <v>20</v>
      </c>
      <c r="E309" t="s">
        <v>28</v>
      </c>
      <c r="F309" t="s">
        <v>32</v>
      </c>
      <c r="G309" t="s">
        <v>23</v>
      </c>
      <c r="H309" s="5">
        <v>17215</v>
      </c>
      <c r="I309" s="4">
        <v>44301</v>
      </c>
      <c r="J309" t="s">
        <v>24</v>
      </c>
      <c r="K309" s="10">
        <v>2.35E-2</v>
      </c>
      <c r="L309" s="7">
        <v>7.0000000000000007E-2</v>
      </c>
      <c r="M309" s="8">
        <f t="shared" si="132"/>
        <v>0.79178082191780819</v>
      </c>
      <c r="N309">
        <f t="shared" si="133"/>
        <v>2021</v>
      </c>
      <c r="O309" s="8">
        <f t="shared" si="134"/>
        <v>13630.506849315068</v>
      </c>
      <c r="P309" s="9">
        <f t="shared" si="135"/>
        <v>1205.0500000000002</v>
      </c>
      <c r="Q309" s="5">
        <f t="shared" si="136"/>
        <v>1205.0500000000002</v>
      </c>
      <c r="R309" s="5">
        <f t="shared" si="137"/>
        <v>301.26250000000005</v>
      </c>
      <c r="S309" s="8">
        <f t="shared" si="138"/>
        <v>4.9202582335053213</v>
      </c>
      <c r="T309" s="7">
        <f t="shared" si="139"/>
        <v>5.541709722342468E-2</v>
      </c>
      <c r="U309" s="8"/>
      <c r="V309" s="11"/>
    </row>
    <row r="310" spans="1:22" x14ac:dyDescent="0.25">
      <c r="A310" t="str">
        <f t="shared" si="140"/>
        <v>44012IFC</v>
      </c>
      <c r="B310" t="str">
        <f t="shared" si="141"/>
        <v>44012Minerva</v>
      </c>
      <c r="C310" s="4">
        <v>44012</v>
      </c>
      <c r="D310" t="s">
        <v>20</v>
      </c>
      <c r="E310" t="s">
        <v>28</v>
      </c>
      <c r="F310" t="s">
        <v>32</v>
      </c>
      <c r="G310" t="s">
        <v>23</v>
      </c>
      <c r="H310" s="5">
        <v>17215</v>
      </c>
      <c r="I310" s="4">
        <v>44666</v>
      </c>
      <c r="J310" t="s">
        <v>24</v>
      </c>
      <c r="K310" s="10">
        <v>2.35E-2</v>
      </c>
      <c r="L310" s="7">
        <v>7.0000000000000007E-2</v>
      </c>
      <c r="M310" s="8">
        <f t="shared" si="132"/>
        <v>1.7917808219178082</v>
      </c>
      <c r="N310">
        <f t="shared" si="133"/>
        <v>2022</v>
      </c>
      <c r="O310" s="8">
        <f t="shared" si="134"/>
        <v>30845.506849315068</v>
      </c>
      <c r="P310" s="9">
        <f t="shared" si="135"/>
        <v>1205.0500000000002</v>
      </c>
      <c r="Q310" s="5">
        <f t="shared" si="136"/>
        <v>1205.0500000000002</v>
      </c>
      <c r="R310" s="5">
        <f t="shared" si="137"/>
        <v>301.26250000000005</v>
      </c>
      <c r="S310" s="8">
        <f t="shared" si="138"/>
        <v>4.9202582335053213</v>
      </c>
      <c r="T310" s="7">
        <f t="shared" si="139"/>
        <v>5.541709722342468E-2</v>
      </c>
      <c r="U310" s="8"/>
      <c r="V310" s="11"/>
    </row>
    <row r="311" spans="1:22" x14ac:dyDescent="0.25">
      <c r="A311" t="str">
        <f t="shared" si="140"/>
        <v>44012IFC</v>
      </c>
      <c r="B311" t="str">
        <f t="shared" si="141"/>
        <v>44012Minerva</v>
      </c>
      <c r="C311" s="4">
        <v>44012</v>
      </c>
      <c r="D311" t="s">
        <v>20</v>
      </c>
      <c r="E311" t="s">
        <v>28</v>
      </c>
      <c r="F311" t="s">
        <v>32</v>
      </c>
      <c r="G311" t="s">
        <v>23</v>
      </c>
      <c r="H311" s="5">
        <f>52226-H309-H310</f>
        <v>17796</v>
      </c>
      <c r="I311" s="4">
        <v>45031</v>
      </c>
      <c r="J311" t="s">
        <v>24</v>
      </c>
      <c r="K311" s="10">
        <v>2.35E-2</v>
      </c>
      <c r="L311" s="7">
        <v>7.0000000000000007E-2</v>
      </c>
      <c r="M311" s="8">
        <f t="shared" si="132"/>
        <v>2.7917808219178082</v>
      </c>
      <c r="N311">
        <f t="shared" si="133"/>
        <v>2023</v>
      </c>
      <c r="O311" s="8">
        <f t="shared" si="134"/>
        <v>49682.531506849315</v>
      </c>
      <c r="P311" s="9">
        <f t="shared" si="135"/>
        <v>1245.72</v>
      </c>
      <c r="Q311" s="5">
        <f t="shared" si="136"/>
        <v>1245.72</v>
      </c>
      <c r="R311" s="5">
        <f t="shared" si="137"/>
        <v>311.43</v>
      </c>
      <c r="S311" s="8">
        <f t="shared" si="138"/>
        <v>4.9202582335053213</v>
      </c>
      <c r="T311" s="7">
        <f t="shared" si="139"/>
        <v>5.541709722342468E-2</v>
      </c>
      <c r="U311" s="8"/>
      <c r="V311" s="11"/>
    </row>
    <row r="312" spans="1:22" x14ac:dyDescent="0.25">
      <c r="A312" t="str">
        <f t="shared" si="140"/>
        <v>44012ACC</v>
      </c>
      <c r="B312" t="str">
        <f t="shared" si="141"/>
        <v>44012Minerva</v>
      </c>
      <c r="C312" s="4">
        <v>44012</v>
      </c>
      <c r="D312" t="s">
        <v>20</v>
      </c>
      <c r="E312" t="s">
        <v>33</v>
      </c>
      <c r="F312" t="s">
        <v>33</v>
      </c>
      <c r="G312" t="s">
        <v>34</v>
      </c>
      <c r="H312" s="5">
        <v>665647</v>
      </c>
      <c r="I312" s="4">
        <v>43983</v>
      </c>
      <c r="J312" t="s">
        <v>30</v>
      </c>
      <c r="K312" s="10">
        <v>5.5E-2</v>
      </c>
      <c r="L312" s="10">
        <f>K312</f>
        <v>5.5E-2</v>
      </c>
      <c r="M312" s="8">
        <f t="shared" si="132"/>
        <v>-7.9452054794520555E-2</v>
      </c>
      <c r="N312">
        <f t="shared" si="133"/>
        <v>2020</v>
      </c>
      <c r="O312" s="8">
        <f t="shared" si="134"/>
        <v>-52887.021917808226</v>
      </c>
      <c r="P312" s="9">
        <f t="shared" si="135"/>
        <v>36610.584999999999</v>
      </c>
      <c r="Q312" s="5">
        <f t="shared" si="136"/>
        <v>36610.584999999999</v>
      </c>
      <c r="R312" s="5">
        <f t="shared" si="137"/>
        <v>9152.6462499999998</v>
      </c>
      <c r="S312" s="8">
        <f t="shared" si="138"/>
        <v>4.9202582335053213</v>
      </c>
      <c r="T312" s="7">
        <f t="shared" si="139"/>
        <v>5.541709722342468E-2</v>
      </c>
      <c r="U312" s="8"/>
    </row>
    <row r="313" spans="1:22" x14ac:dyDescent="0.25">
      <c r="A313" t="str">
        <f t="shared" si="140"/>
        <v>44012Bond</v>
      </c>
      <c r="B313" t="str">
        <f t="shared" si="141"/>
        <v>44012Minerva</v>
      </c>
      <c r="C313" s="4">
        <v>44012</v>
      </c>
      <c r="D313" t="s">
        <v>20</v>
      </c>
      <c r="E313" t="s">
        <v>35</v>
      </c>
      <c r="F313" t="s">
        <v>35</v>
      </c>
      <c r="G313" t="s">
        <v>34</v>
      </c>
      <c r="H313" s="5">
        <f>8572018-H314-H315</f>
        <v>188853</v>
      </c>
      <c r="I313" s="4">
        <v>44002</v>
      </c>
      <c r="J313" t="s">
        <v>30</v>
      </c>
      <c r="K313" s="10">
        <v>6.5000000000000002E-2</v>
      </c>
      <c r="L313" s="10">
        <f t="shared" ref="L313:L315" si="142">K313</f>
        <v>6.5000000000000002E-2</v>
      </c>
      <c r="M313" s="8">
        <f t="shared" si="132"/>
        <v>-2.7397260273972601E-2</v>
      </c>
      <c r="N313">
        <f t="shared" si="133"/>
        <v>2020</v>
      </c>
      <c r="O313" s="8">
        <f t="shared" si="134"/>
        <v>-5174.0547945205481</v>
      </c>
      <c r="P313" s="9">
        <f t="shared" si="135"/>
        <v>12275.445</v>
      </c>
      <c r="Q313" s="5">
        <f t="shared" si="136"/>
        <v>12275.445</v>
      </c>
      <c r="R313" s="5">
        <f t="shared" si="137"/>
        <v>3068.8612499999999</v>
      </c>
      <c r="S313" s="8">
        <f t="shared" si="138"/>
        <v>4.9202582335053213</v>
      </c>
      <c r="T313" s="7">
        <f t="shared" si="139"/>
        <v>5.541709722342468E-2</v>
      </c>
    </row>
    <row r="314" spans="1:22" x14ac:dyDescent="0.25">
      <c r="A314" t="str">
        <f t="shared" si="140"/>
        <v>44012Bond</v>
      </c>
      <c r="B314" t="str">
        <f t="shared" si="141"/>
        <v>44012Minerva</v>
      </c>
      <c r="C314" s="4">
        <v>44012</v>
      </c>
      <c r="D314" t="s">
        <v>20</v>
      </c>
      <c r="E314" t="s">
        <v>35</v>
      </c>
      <c r="F314" t="s">
        <v>35</v>
      </c>
      <c r="G314" t="s">
        <v>34</v>
      </c>
      <c r="H314" s="5">
        <v>6025573</v>
      </c>
      <c r="I314" s="4">
        <v>46285</v>
      </c>
      <c r="J314" t="s">
        <v>30</v>
      </c>
      <c r="K314" s="10">
        <v>6.5000000000000002E-2</v>
      </c>
      <c r="L314" s="10">
        <f t="shared" si="142"/>
        <v>6.5000000000000002E-2</v>
      </c>
      <c r="M314" s="8">
        <f t="shared" si="132"/>
        <v>6.2273972602739729</v>
      </c>
      <c r="N314">
        <f t="shared" si="133"/>
        <v>2026</v>
      </c>
      <c r="O314" s="8">
        <f t="shared" si="134"/>
        <v>37523636.791780822</v>
      </c>
      <c r="P314" s="9">
        <f t="shared" si="135"/>
        <v>391662.245</v>
      </c>
      <c r="Q314" s="5">
        <f t="shared" si="136"/>
        <v>391662.245</v>
      </c>
      <c r="R314" s="5">
        <f t="shared" si="137"/>
        <v>97915.561249999999</v>
      </c>
      <c r="S314" s="8">
        <f t="shared" si="138"/>
        <v>4.9202582335053213</v>
      </c>
      <c r="T314" s="7">
        <f t="shared" si="139"/>
        <v>5.541709722342468E-2</v>
      </c>
    </row>
    <row r="315" spans="1:22" x14ac:dyDescent="0.25">
      <c r="A315" t="str">
        <f t="shared" si="140"/>
        <v>44012Bond</v>
      </c>
      <c r="B315" t="str">
        <f t="shared" si="141"/>
        <v>44012Minerva</v>
      </c>
      <c r="C315" s="4">
        <v>44012</v>
      </c>
      <c r="D315" t="s">
        <v>20</v>
      </c>
      <c r="E315" t="s">
        <v>35</v>
      </c>
      <c r="F315" t="s">
        <v>35</v>
      </c>
      <c r="G315" t="s">
        <v>34</v>
      </c>
      <c r="H315" s="5">
        <v>2357592</v>
      </c>
      <c r="I315" s="4">
        <v>47016</v>
      </c>
      <c r="J315" t="s">
        <v>30</v>
      </c>
      <c r="K315" s="10">
        <v>5.8749999999999997E-2</v>
      </c>
      <c r="L315" s="10">
        <f t="shared" si="142"/>
        <v>5.8749999999999997E-2</v>
      </c>
      <c r="M315" s="8">
        <f t="shared" si="132"/>
        <v>8.2301369863013694</v>
      </c>
      <c r="N315">
        <f t="shared" si="133"/>
        <v>2028</v>
      </c>
      <c r="O315" s="8">
        <f t="shared" si="134"/>
        <v>19403305.117808219</v>
      </c>
      <c r="P315" s="9">
        <f t="shared" si="135"/>
        <v>138508.53</v>
      </c>
      <c r="Q315" s="5">
        <f t="shared" si="136"/>
        <v>138508.53</v>
      </c>
      <c r="R315" s="5">
        <f t="shared" si="137"/>
        <v>34627.1325</v>
      </c>
      <c r="S315" s="8">
        <f t="shared" si="138"/>
        <v>4.9202582335053213</v>
      </c>
      <c r="T315" s="7">
        <f t="shared" si="139"/>
        <v>5.541709722342468E-2</v>
      </c>
    </row>
    <row r="316" spans="1:22" x14ac:dyDescent="0.25">
      <c r="A316" t="str">
        <f t="shared" si="140"/>
        <v>44012PPE</v>
      </c>
      <c r="B316" t="str">
        <f t="shared" si="141"/>
        <v>44012Minerva</v>
      </c>
      <c r="C316" s="4">
        <v>44012</v>
      </c>
      <c r="D316" t="s">
        <v>20</v>
      </c>
      <c r="E316" t="s">
        <v>36</v>
      </c>
      <c r="F316" t="s">
        <v>36</v>
      </c>
      <c r="G316" t="s">
        <v>34</v>
      </c>
      <c r="H316" s="5">
        <f>961894-H317-H318</f>
        <v>174719</v>
      </c>
      <c r="I316" s="4">
        <v>44348</v>
      </c>
      <c r="J316" t="s">
        <v>37</v>
      </c>
      <c r="K316" s="12">
        <v>0.02</v>
      </c>
      <c r="L316" s="7">
        <v>2.5000000000000001E-2</v>
      </c>
      <c r="M316" s="8">
        <f t="shared" si="132"/>
        <v>0.92054794520547945</v>
      </c>
      <c r="N316">
        <f t="shared" si="133"/>
        <v>2021</v>
      </c>
      <c r="O316" s="8">
        <f t="shared" si="134"/>
        <v>160837.21643835618</v>
      </c>
      <c r="P316" s="9">
        <f t="shared" si="135"/>
        <v>4367.9750000000004</v>
      </c>
      <c r="Q316" s="5">
        <f t="shared" si="136"/>
        <v>4367.9750000000004</v>
      </c>
      <c r="R316" s="5">
        <f t="shared" si="137"/>
        <v>1091.9937500000001</v>
      </c>
      <c r="S316" s="8">
        <f t="shared" si="138"/>
        <v>4.9202582335053213</v>
      </c>
      <c r="T316" s="7">
        <f t="shared" si="139"/>
        <v>5.541709722342468E-2</v>
      </c>
    </row>
    <row r="317" spans="1:22" x14ac:dyDescent="0.25">
      <c r="A317" t="str">
        <f t="shared" si="140"/>
        <v>44012PPE</v>
      </c>
      <c r="B317" t="str">
        <f t="shared" si="141"/>
        <v>44012Minerva</v>
      </c>
      <c r="C317" s="4">
        <v>44012</v>
      </c>
      <c r="D317" t="s">
        <v>20</v>
      </c>
      <c r="E317" t="s">
        <v>36</v>
      </c>
      <c r="F317" t="s">
        <v>36</v>
      </c>
      <c r="G317" t="s">
        <v>34</v>
      </c>
      <c r="H317" s="5">
        <v>444925</v>
      </c>
      <c r="I317" s="4">
        <v>44348</v>
      </c>
      <c r="J317" t="s">
        <v>37</v>
      </c>
      <c r="K317" s="12">
        <v>0.02</v>
      </c>
      <c r="L317" s="7">
        <v>2.5000000000000001E-2</v>
      </c>
      <c r="M317" s="8">
        <f t="shared" si="132"/>
        <v>0.92054794520547945</v>
      </c>
      <c r="N317">
        <f t="shared" si="133"/>
        <v>2021</v>
      </c>
      <c r="O317" s="8">
        <f t="shared" si="134"/>
        <v>409574.79452054796</v>
      </c>
      <c r="P317" s="9">
        <f t="shared" si="135"/>
        <v>11123.125</v>
      </c>
      <c r="Q317" s="5">
        <f t="shared" si="136"/>
        <v>11123.125</v>
      </c>
      <c r="R317" s="5">
        <f t="shared" si="137"/>
        <v>2780.78125</v>
      </c>
      <c r="S317" s="8">
        <f t="shared" si="138"/>
        <v>4.9202582335053213</v>
      </c>
      <c r="T317" s="7">
        <f t="shared" si="139"/>
        <v>5.541709722342468E-2</v>
      </c>
    </row>
    <row r="318" spans="1:22" x14ac:dyDescent="0.25">
      <c r="A318" t="str">
        <f t="shared" si="140"/>
        <v>44012PPE</v>
      </c>
      <c r="B318" t="str">
        <f t="shared" si="141"/>
        <v>44012Minerva</v>
      </c>
      <c r="C318" s="4">
        <v>44012</v>
      </c>
      <c r="D318" t="s">
        <v>20</v>
      </c>
      <c r="E318" t="s">
        <v>36</v>
      </c>
      <c r="F318" t="s">
        <v>36</v>
      </c>
      <c r="G318" t="s">
        <v>34</v>
      </c>
      <c r="H318" s="5">
        <v>342250</v>
      </c>
      <c r="I318" s="4">
        <v>44713</v>
      </c>
      <c r="J318" t="s">
        <v>37</v>
      </c>
      <c r="K318" s="12">
        <v>0.02</v>
      </c>
      <c r="L318" s="7">
        <v>2.5000000000000001E-2</v>
      </c>
      <c r="M318" s="8">
        <f t="shared" si="132"/>
        <v>1.9205479452054794</v>
      </c>
      <c r="N318">
        <f t="shared" si="133"/>
        <v>2022</v>
      </c>
      <c r="O318" s="8">
        <f t="shared" si="134"/>
        <v>657307.53424657532</v>
      </c>
      <c r="P318" s="9">
        <f t="shared" si="135"/>
        <v>8556.25</v>
      </c>
      <c r="Q318" s="5">
        <f t="shared" si="136"/>
        <v>8556.25</v>
      </c>
      <c r="R318" s="5">
        <f t="shared" si="137"/>
        <v>2139.0625</v>
      </c>
      <c r="S318" s="8">
        <f t="shared" si="138"/>
        <v>4.9202582335053213</v>
      </c>
      <c r="T318" s="7">
        <f t="shared" si="139"/>
        <v>5.541709722342468E-2</v>
      </c>
    </row>
    <row r="319" spans="1:22" x14ac:dyDescent="0.25">
      <c r="A319" t="str">
        <f t="shared" si="140"/>
        <v>44012Secured Loan</v>
      </c>
      <c r="B319" t="str">
        <f t="shared" si="141"/>
        <v>44012Minerva</v>
      </c>
      <c r="C319" s="4">
        <v>44012</v>
      </c>
      <c r="D319" t="s">
        <v>20</v>
      </c>
      <c r="E319" t="s">
        <v>28</v>
      </c>
      <c r="F319" t="s">
        <v>39</v>
      </c>
      <c r="G319" t="s">
        <v>34</v>
      </c>
      <c r="H319" s="5">
        <v>16083</v>
      </c>
      <c r="I319" s="4">
        <v>43983</v>
      </c>
      <c r="J319" t="s">
        <v>30</v>
      </c>
      <c r="K319" s="10">
        <v>6.5000000000000002E-2</v>
      </c>
      <c r="L319" s="10">
        <f t="shared" ref="L319:L330" si="143">K319</f>
        <v>6.5000000000000002E-2</v>
      </c>
      <c r="M319" s="8">
        <f t="shared" si="132"/>
        <v>-7.9452054794520555E-2</v>
      </c>
      <c r="N319">
        <f t="shared" si="133"/>
        <v>2020</v>
      </c>
      <c r="O319" s="8">
        <f t="shared" si="134"/>
        <v>-1277.827397260274</v>
      </c>
      <c r="P319" s="9">
        <f t="shared" si="135"/>
        <v>1045.395</v>
      </c>
      <c r="Q319" s="5">
        <f t="shared" si="136"/>
        <v>1045.395</v>
      </c>
      <c r="R319" s="5">
        <f t="shared" si="137"/>
        <v>261.34875</v>
      </c>
      <c r="S319" s="8">
        <f t="shared" si="138"/>
        <v>4.9202582335053213</v>
      </c>
      <c r="T319" s="7">
        <f t="shared" si="139"/>
        <v>5.541709722342468E-2</v>
      </c>
    </row>
    <row r="320" spans="1:22" x14ac:dyDescent="0.25">
      <c r="A320" t="str">
        <f t="shared" si="140"/>
        <v>44012Outros</v>
      </c>
      <c r="B320" t="str">
        <f t="shared" si="141"/>
        <v>44012Minerva</v>
      </c>
      <c r="C320" s="4">
        <v>44012</v>
      </c>
      <c r="D320" t="s">
        <v>20</v>
      </c>
      <c r="E320" t="s">
        <v>28</v>
      </c>
      <c r="F320" t="s">
        <v>28</v>
      </c>
      <c r="G320" t="s">
        <v>34</v>
      </c>
      <c r="H320" s="5">
        <v>243600</v>
      </c>
      <c r="I320" s="4">
        <v>43983</v>
      </c>
      <c r="J320" t="s">
        <v>30</v>
      </c>
      <c r="K320" s="10">
        <v>6.5000000000000002E-2</v>
      </c>
      <c r="L320" s="10">
        <f t="shared" si="143"/>
        <v>6.5000000000000002E-2</v>
      </c>
      <c r="M320" s="8">
        <f t="shared" si="132"/>
        <v>-7.9452054794520555E-2</v>
      </c>
      <c r="N320">
        <f t="shared" si="133"/>
        <v>2020</v>
      </c>
      <c r="O320" s="8">
        <f t="shared" si="134"/>
        <v>-19354.520547945209</v>
      </c>
      <c r="P320" s="9">
        <f t="shared" si="135"/>
        <v>15834</v>
      </c>
      <c r="Q320" s="5">
        <f t="shared" si="136"/>
        <v>15834</v>
      </c>
      <c r="R320" s="5">
        <f t="shared" si="137"/>
        <v>3958.5</v>
      </c>
      <c r="S320" s="8">
        <f t="shared" si="138"/>
        <v>4.9202582335053213</v>
      </c>
      <c r="T320" s="7">
        <f t="shared" si="139"/>
        <v>5.541709722342468E-2</v>
      </c>
    </row>
    <row r="321" spans="1:20" x14ac:dyDescent="0.25">
      <c r="A321" t="str">
        <f t="shared" si="140"/>
        <v>44012Derivativos</v>
      </c>
      <c r="B321" t="str">
        <f t="shared" si="141"/>
        <v>44012Minerva</v>
      </c>
      <c r="C321" s="4">
        <v>44012</v>
      </c>
      <c r="D321" t="s">
        <v>20</v>
      </c>
      <c r="E321" t="s">
        <v>28</v>
      </c>
      <c r="F321" t="s">
        <v>40</v>
      </c>
      <c r="G321" t="s">
        <v>34</v>
      </c>
      <c r="H321" s="5">
        <f>-453023-1020854-SUM(H322:H330)</f>
        <v>-250166</v>
      </c>
      <c r="I321" s="4">
        <v>43983</v>
      </c>
      <c r="J321" t="s">
        <v>30</v>
      </c>
      <c r="K321" s="10">
        <v>6.5000000000000002E-2</v>
      </c>
      <c r="L321" s="10">
        <f t="shared" si="143"/>
        <v>6.5000000000000002E-2</v>
      </c>
      <c r="M321" s="8">
        <f t="shared" si="132"/>
        <v>-7.9452054794520555E-2</v>
      </c>
      <c r="N321">
        <f t="shared" si="133"/>
        <v>2020</v>
      </c>
      <c r="O321" s="8">
        <f t="shared" si="134"/>
        <v>19876.202739726028</v>
      </c>
      <c r="P321" s="9">
        <f t="shared" si="135"/>
        <v>-16260.79</v>
      </c>
      <c r="Q321" s="5">
        <f t="shared" si="136"/>
        <v>-16260.79</v>
      </c>
      <c r="R321" s="5">
        <f t="shared" si="137"/>
        <v>-4065.1975000000002</v>
      </c>
      <c r="S321" s="8">
        <f t="shared" si="138"/>
        <v>4.9202582335053213</v>
      </c>
      <c r="T321" s="7">
        <f t="shared" si="139"/>
        <v>5.541709722342468E-2</v>
      </c>
    </row>
    <row r="322" spans="1:20" x14ac:dyDescent="0.25">
      <c r="A322" t="str">
        <f t="shared" si="140"/>
        <v>44012Derivativos</v>
      </c>
      <c r="B322" t="str">
        <f t="shared" si="141"/>
        <v>44012Minerva</v>
      </c>
      <c r="C322" s="4">
        <v>44012</v>
      </c>
      <c r="D322" t="s">
        <v>20</v>
      </c>
      <c r="E322" t="s">
        <v>28</v>
      </c>
      <c r="F322" t="s">
        <v>40</v>
      </c>
      <c r="G322" t="s">
        <v>34</v>
      </c>
      <c r="H322" s="5">
        <v>-20215</v>
      </c>
      <c r="I322" s="4">
        <v>44348</v>
      </c>
      <c r="J322" t="s">
        <v>30</v>
      </c>
      <c r="K322" s="10">
        <v>6.5000000000000002E-2</v>
      </c>
      <c r="L322" s="10">
        <f t="shared" si="143"/>
        <v>6.5000000000000002E-2</v>
      </c>
      <c r="M322" s="8">
        <f t="shared" si="132"/>
        <v>0.92054794520547945</v>
      </c>
      <c r="N322">
        <f t="shared" si="133"/>
        <v>2021</v>
      </c>
      <c r="O322" s="8">
        <f t="shared" si="134"/>
        <v>-18608.876712328765</v>
      </c>
      <c r="P322" s="9">
        <f t="shared" si="135"/>
        <v>-1313.9750000000001</v>
      </c>
      <c r="Q322" s="5">
        <f t="shared" si="136"/>
        <v>-1313.9750000000001</v>
      </c>
      <c r="R322" s="5">
        <f t="shared" si="137"/>
        <v>-328.49375000000003</v>
      </c>
      <c r="S322" s="8">
        <f t="shared" si="138"/>
        <v>4.9202582335053213</v>
      </c>
      <c r="T322" s="7">
        <f t="shared" si="139"/>
        <v>5.541709722342468E-2</v>
      </c>
    </row>
    <row r="323" spans="1:20" x14ac:dyDescent="0.25">
      <c r="A323" t="str">
        <f t="shared" si="140"/>
        <v>44012Derivativos</v>
      </c>
      <c r="B323" t="str">
        <f t="shared" si="141"/>
        <v>44012Minerva</v>
      </c>
      <c r="C323" s="4">
        <v>44012</v>
      </c>
      <c r="D323" t="s">
        <v>20</v>
      </c>
      <c r="E323" t="s">
        <v>28</v>
      </c>
      <c r="F323" t="s">
        <v>40</v>
      </c>
      <c r="G323" t="s">
        <v>34</v>
      </c>
      <c r="H323" s="5">
        <v>-13933</v>
      </c>
      <c r="I323" s="4">
        <v>44713</v>
      </c>
      <c r="J323" t="s">
        <v>30</v>
      </c>
      <c r="K323" s="10">
        <v>6.5000000000000002E-2</v>
      </c>
      <c r="L323" s="10">
        <f t="shared" si="143"/>
        <v>6.5000000000000002E-2</v>
      </c>
      <c r="M323" s="8">
        <f t="shared" si="132"/>
        <v>1.9205479452054794</v>
      </c>
      <c r="N323">
        <f t="shared" si="133"/>
        <v>2022</v>
      </c>
      <c r="O323" s="8">
        <f t="shared" si="134"/>
        <v>-26758.994520547945</v>
      </c>
      <c r="P323" s="9">
        <f t="shared" si="135"/>
        <v>-905.64499999999998</v>
      </c>
      <c r="Q323" s="5">
        <f t="shared" si="136"/>
        <v>-905.64499999999998</v>
      </c>
      <c r="R323" s="5">
        <f t="shared" si="137"/>
        <v>-226.41125</v>
      </c>
      <c r="S323" s="8">
        <f t="shared" si="138"/>
        <v>4.9202582335053213</v>
      </c>
      <c r="T323" s="7">
        <f t="shared" si="139"/>
        <v>5.541709722342468E-2</v>
      </c>
    </row>
    <row r="324" spans="1:20" x14ac:dyDescent="0.25">
      <c r="A324" t="str">
        <f t="shared" si="140"/>
        <v>44012Derivativos</v>
      </c>
      <c r="B324" t="str">
        <f t="shared" si="141"/>
        <v>44012Minerva</v>
      </c>
      <c r="C324" s="4">
        <v>44012</v>
      </c>
      <c r="D324" t="s">
        <v>20</v>
      </c>
      <c r="E324" t="s">
        <v>28</v>
      </c>
      <c r="F324" t="s">
        <v>40</v>
      </c>
      <c r="G324" t="s">
        <v>34</v>
      </c>
      <c r="H324" s="5">
        <v>5404</v>
      </c>
      <c r="I324" s="4">
        <v>45078</v>
      </c>
      <c r="J324" t="s">
        <v>30</v>
      </c>
      <c r="K324" s="10">
        <v>6.5000000000000002E-2</v>
      </c>
      <c r="L324" s="10">
        <f t="shared" si="143"/>
        <v>6.5000000000000002E-2</v>
      </c>
      <c r="M324" s="8">
        <f t="shared" si="132"/>
        <v>2.9205479452054797</v>
      </c>
      <c r="N324">
        <f t="shared" si="133"/>
        <v>2023</v>
      </c>
      <c r="O324" s="8">
        <f t="shared" si="134"/>
        <v>15782.641095890413</v>
      </c>
      <c r="P324" s="9">
        <f t="shared" si="135"/>
        <v>351.26</v>
      </c>
      <c r="Q324" s="5">
        <f t="shared" si="136"/>
        <v>351.26</v>
      </c>
      <c r="R324" s="5">
        <f t="shared" si="137"/>
        <v>87.814999999999998</v>
      </c>
      <c r="S324" s="8">
        <f t="shared" si="138"/>
        <v>4.9202582335053213</v>
      </c>
      <c r="T324" s="7">
        <f t="shared" si="139"/>
        <v>5.541709722342468E-2</v>
      </c>
    </row>
    <row r="325" spans="1:20" x14ac:dyDescent="0.25">
      <c r="A325" t="str">
        <f t="shared" si="140"/>
        <v>44012Derivativos</v>
      </c>
      <c r="B325" t="str">
        <f t="shared" si="141"/>
        <v>44012Minerva</v>
      </c>
      <c r="C325" s="4">
        <v>44012</v>
      </c>
      <c r="D325" t="s">
        <v>20</v>
      </c>
      <c r="E325" t="s">
        <v>28</v>
      </c>
      <c r="F325" t="s">
        <v>40</v>
      </c>
      <c r="G325" t="s">
        <v>34</v>
      </c>
      <c r="H325" s="5">
        <v>-365985</v>
      </c>
      <c r="I325" s="4">
        <v>45444</v>
      </c>
      <c r="J325" t="s">
        <v>30</v>
      </c>
      <c r="K325" s="10">
        <v>6.5000000000000002E-2</v>
      </c>
      <c r="L325" s="10">
        <f t="shared" si="143"/>
        <v>6.5000000000000002E-2</v>
      </c>
      <c r="M325" s="8">
        <f t="shared" si="132"/>
        <v>3.9232876712328766</v>
      </c>
      <c r="N325">
        <f t="shared" si="133"/>
        <v>2024</v>
      </c>
      <c r="O325" s="8">
        <f t="shared" si="134"/>
        <v>-1435864.4383561644</v>
      </c>
      <c r="P325" s="9">
        <f t="shared" si="135"/>
        <v>-23789.025000000001</v>
      </c>
      <c r="Q325" s="5">
        <f t="shared" si="136"/>
        <v>-23789.025000000001</v>
      </c>
      <c r="R325" s="5">
        <f t="shared" si="137"/>
        <v>-5947.2562500000004</v>
      </c>
      <c r="S325" s="8">
        <f t="shared" si="138"/>
        <v>4.9202582335053213</v>
      </c>
      <c r="T325" s="7">
        <f t="shared" si="139"/>
        <v>5.541709722342468E-2</v>
      </c>
    </row>
    <row r="326" spans="1:20" x14ac:dyDescent="0.25">
      <c r="A326" t="str">
        <f t="shared" si="140"/>
        <v>44012Derivativos</v>
      </c>
      <c r="B326" t="str">
        <f t="shared" si="141"/>
        <v>44012Minerva</v>
      </c>
      <c r="C326" s="4">
        <v>44012</v>
      </c>
      <c r="D326" t="s">
        <v>20</v>
      </c>
      <c r="E326" t="s">
        <v>28</v>
      </c>
      <c r="F326" t="s">
        <v>40</v>
      </c>
      <c r="G326" t="s">
        <v>34</v>
      </c>
      <c r="H326" s="5">
        <v>-296875</v>
      </c>
      <c r="I326" s="4">
        <v>45809</v>
      </c>
      <c r="J326" t="s">
        <v>30</v>
      </c>
      <c r="K326" s="10">
        <v>6.5000000000000002E-2</v>
      </c>
      <c r="L326" s="10">
        <f t="shared" si="143"/>
        <v>6.5000000000000002E-2</v>
      </c>
      <c r="M326" s="8">
        <f t="shared" si="132"/>
        <v>4.9232876712328766</v>
      </c>
      <c r="N326">
        <f t="shared" si="133"/>
        <v>2025</v>
      </c>
      <c r="O326" s="8">
        <f t="shared" si="134"/>
        <v>-1461601.0273972603</v>
      </c>
      <c r="P326" s="9">
        <f t="shared" si="135"/>
        <v>-19296.875</v>
      </c>
      <c r="Q326" s="5">
        <f t="shared" si="136"/>
        <v>-19296.875</v>
      </c>
      <c r="R326" s="5">
        <f t="shared" si="137"/>
        <v>-4824.21875</v>
      </c>
      <c r="S326" s="8">
        <f t="shared" si="138"/>
        <v>4.9202582335053213</v>
      </c>
      <c r="T326" s="7">
        <f t="shared" si="139"/>
        <v>5.541709722342468E-2</v>
      </c>
    </row>
    <row r="327" spans="1:20" x14ac:dyDescent="0.25">
      <c r="A327" t="str">
        <f t="shared" si="140"/>
        <v>44012Derivativos</v>
      </c>
      <c r="B327" t="str">
        <f t="shared" si="141"/>
        <v>44012Minerva</v>
      </c>
      <c r="C327" s="4">
        <v>44012</v>
      </c>
      <c r="D327" t="s">
        <v>20</v>
      </c>
      <c r="E327" t="s">
        <v>28</v>
      </c>
      <c r="F327" t="s">
        <v>40</v>
      </c>
      <c r="G327" t="s">
        <v>34</v>
      </c>
      <c r="H327" s="5">
        <v>0</v>
      </c>
      <c r="I327" s="4">
        <v>46174</v>
      </c>
      <c r="J327" t="s">
        <v>30</v>
      </c>
      <c r="K327" s="10">
        <v>6.5000000000000002E-2</v>
      </c>
      <c r="L327" s="10">
        <f t="shared" si="143"/>
        <v>6.5000000000000002E-2</v>
      </c>
      <c r="M327" s="8">
        <f t="shared" si="132"/>
        <v>5.9232876712328766</v>
      </c>
      <c r="N327">
        <f t="shared" si="133"/>
        <v>2026</v>
      </c>
      <c r="O327" s="8">
        <f t="shared" si="134"/>
        <v>0</v>
      </c>
      <c r="P327" s="9">
        <f t="shared" si="135"/>
        <v>0</v>
      </c>
      <c r="Q327" s="5">
        <f t="shared" si="136"/>
        <v>0</v>
      </c>
      <c r="R327" s="5">
        <f t="shared" si="137"/>
        <v>0</v>
      </c>
      <c r="S327" s="8">
        <f t="shared" si="138"/>
        <v>4.9202582335053213</v>
      </c>
      <c r="T327" s="7">
        <f t="shared" si="139"/>
        <v>5.541709722342468E-2</v>
      </c>
    </row>
    <row r="328" spans="1:20" x14ac:dyDescent="0.25">
      <c r="A328" t="str">
        <f t="shared" si="140"/>
        <v>44012Derivativos</v>
      </c>
      <c r="B328" t="str">
        <f t="shared" si="141"/>
        <v>44012Minerva</v>
      </c>
      <c r="C328" s="4">
        <v>44012</v>
      </c>
      <c r="D328" t="s">
        <v>20</v>
      </c>
      <c r="E328" t="s">
        <v>28</v>
      </c>
      <c r="F328" t="s">
        <v>40</v>
      </c>
      <c r="G328" t="s">
        <v>34</v>
      </c>
      <c r="H328" s="5">
        <v>-147151</v>
      </c>
      <c r="I328" s="4">
        <v>46539</v>
      </c>
      <c r="J328" t="s">
        <v>30</v>
      </c>
      <c r="K328" s="10">
        <v>6.5000000000000002E-2</v>
      </c>
      <c r="L328" s="10">
        <f t="shared" si="143"/>
        <v>6.5000000000000002E-2</v>
      </c>
      <c r="M328" s="8">
        <f t="shared" si="132"/>
        <v>6.9232876712328766</v>
      </c>
      <c r="N328">
        <f t="shared" si="133"/>
        <v>2027</v>
      </c>
      <c r="O328" s="8">
        <f t="shared" si="134"/>
        <v>-1018768.704109589</v>
      </c>
      <c r="P328" s="9">
        <f t="shared" si="135"/>
        <v>-9564.8150000000005</v>
      </c>
      <c r="Q328" s="5">
        <f t="shared" si="136"/>
        <v>-9564.8150000000005</v>
      </c>
      <c r="R328" s="5">
        <f t="shared" si="137"/>
        <v>-2391.2037500000001</v>
      </c>
      <c r="S328" s="8">
        <f t="shared" si="138"/>
        <v>4.9202582335053213</v>
      </c>
      <c r="T328" s="7">
        <f t="shared" si="139"/>
        <v>5.541709722342468E-2</v>
      </c>
    </row>
    <row r="329" spans="1:20" x14ac:dyDescent="0.25">
      <c r="A329" t="str">
        <f t="shared" si="140"/>
        <v>44012Derivativos</v>
      </c>
      <c r="B329" t="str">
        <f t="shared" si="141"/>
        <v>44012Minerva</v>
      </c>
      <c r="C329" s="4">
        <v>44012</v>
      </c>
      <c r="D329" t="s">
        <v>20</v>
      </c>
      <c r="E329" t="s">
        <v>28</v>
      </c>
      <c r="F329" t="s">
        <v>40</v>
      </c>
      <c r="G329" t="s">
        <v>34</v>
      </c>
      <c r="H329" s="5">
        <v>0</v>
      </c>
      <c r="I329" s="4">
        <v>46905</v>
      </c>
      <c r="J329" t="s">
        <v>30</v>
      </c>
      <c r="K329" s="10">
        <v>6.5000000000000002E-2</v>
      </c>
      <c r="L329" s="10">
        <f t="shared" si="143"/>
        <v>6.5000000000000002E-2</v>
      </c>
      <c r="M329" s="8">
        <f t="shared" si="132"/>
        <v>7.9260273972602739</v>
      </c>
      <c r="N329">
        <f t="shared" si="133"/>
        <v>2028</v>
      </c>
      <c r="O329" s="8">
        <f t="shared" si="134"/>
        <v>0</v>
      </c>
      <c r="P329" s="9">
        <f t="shared" si="135"/>
        <v>0</v>
      </c>
      <c r="Q329" s="5">
        <f t="shared" si="136"/>
        <v>0</v>
      </c>
      <c r="R329" s="5">
        <f t="shared" si="137"/>
        <v>0</v>
      </c>
      <c r="S329" s="8">
        <f t="shared" si="138"/>
        <v>4.9202582335053213</v>
      </c>
      <c r="T329" s="7">
        <f t="shared" si="139"/>
        <v>5.541709722342468E-2</v>
      </c>
    </row>
    <row r="330" spans="1:20" x14ac:dyDescent="0.25">
      <c r="A330" t="str">
        <f t="shared" si="140"/>
        <v>44012Derivativos</v>
      </c>
      <c r="B330" t="str">
        <f t="shared" si="141"/>
        <v>44012Minerva</v>
      </c>
      <c r="C330" s="4">
        <v>44012</v>
      </c>
      <c r="D330" t="s">
        <v>20</v>
      </c>
      <c r="E330" t="s">
        <v>28</v>
      </c>
      <c r="F330" t="s">
        <v>40</v>
      </c>
      <c r="G330" t="s">
        <v>34</v>
      </c>
      <c r="H330" s="5">
        <v>-384956</v>
      </c>
      <c r="I330" s="4">
        <v>47270</v>
      </c>
      <c r="J330" t="s">
        <v>30</v>
      </c>
      <c r="K330" s="10">
        <v>6.5000000000000002E-2</v>
      </c>
      <c r="L330" s="10">
        <f t="shared" si="143"/>
        <v>6.5000000000000002E-2</v>
      </c>
      <c r="M330" s="8">
        <f t="shared" si="132"/>
        <v>8.9260273972602739</v>
      </c>
      <c r="N330">
        <f t="shared" si="133"/>
        <v>2029</v>
      </c>
      <c r="O330" s="8">
        <f t="shared" si="134"/>
        <v>-3436127.8027397259</v>
      </c>
      <c r="P330" s="9">
        <f t="shared" si="135"/>
        <v>-25022.14</v>
      </c>
      <c r="Q330" s="5">
        <f t="shared" si="136"/>
        <v>-25022.14</v>
      </c>
      <c r="R330" s="5">
        <f t="shared" si="137"/>
        <v>-6255.5349999999999</v>
      </c>
      <c r="S330" s="8">
        <f t="shared" si="138"/>
        <v>4.9202582335053213</v>
      </c>
      <c r="T330" s="7">
        <f t="shared" si="139"/>
        <v>5.541709722342468E-2</v>
      </c>
    </row>
    <row r="331" spans="1:20" hidden="1" x14ac:dyDescent="0.25">
      <c r="A331" t="str">
        <f t="shared" si="140"/>
        <v>44012KG</v>
      </c>
      <c r="B331" t="str">
        <f t="shared" si="141"/>
        <v>44012BRF</v>
      </c>
      <c r="C331" s="4">
        <v>44012</v>
      </c>
      <c r="D331" t="s">
        <v>45</v>
      </c>
      <c r="E331" t="s">
        <v>46</v>
      </c>
      <c r="F331" t="s">
        <v>46</v>
      </c>
      <c r="G331" t="s">
        <v>23</v>
      </c>
      <c r="H331" s="5">
        <v>3187660</v>
      </c>
      <c r="I331" s="4">
        <f t="shared" ref="I331:I341" si="144">C331+M331*365</f>
        <v>44340.5</v>
      </c>
      <c r="J331" t="s">
        <v>47</v>
      </c>
      <c r="K331" s="12"/>
      <c r="L331" s="7">
        <v>3.7400000000000003E-2</v>
      </c>
      <c r="M331" s="8">
        <v>0.9</v>
      </c>
      <c r="N331">
        <f t="shared" si="133"/>
        <v>2021</v>
      </c>
      <c r="O331" s="8">
        <f t="shared" si="134"/>
        <v>2868894</v>
      </c>
      <c r="P331" s="9">
        <f t="shared" si="135"/>
        <v>119218.48400000001</v>
      </c>
      <c r="Q331" s="5">
        <f t="shared" si="136"/>
        <v>119218.48400000001</v>
      </c>
      <c r="R331" s="5">
        <f t="shared" si="137"/>
        <v>29804.621000000003</v>
      </c>
      <c r="S331" s="8">
        <f t="shared" si="138"/>
        <v>4.4295336816531155</v>
      </c>
      <c r="T331" s="7">
        <f t="shared" si="139"/>
        <v>4.4989589125865419E-2</v>
      </c>
    </row>
    <row r="332" spans="1:20" hidden="1" x14ac:dyDescent="0.25">
      <c r="A332" t="str">
        <f t="shared" si="140"/>
        <v>44012CRA</v>
      </c>
      <c r="B332" t="str">
        <f t="shared" si="141"/>
        <v>44012BRF</v>
      </c>
      <c r="C332" s="4">
        <v>44012</v>
      </c>
      <c r="D332" t="s">
        <v>45</v>
      </c>
      <c r="E332" t="s">
        <v>48</v>
      </c>
      <c r="F332" t="s">
        <v>48</v>
      </c>
      <c r="G332" t="s">
        <v>23</v>
      </c>
      <c r="H332" s="5">
        <v>1616203</v>
      </c>
      <c r="I332" s="4">
        <f t="shared" si="144"/>
        <v>44742</v>
      </c>
      <c r="J332" t="s">
        <v>49</v>
      </c>
      <c r="K332" s="10"/>
      <c r="L332" s="7">
        <v>5.0299999999999997E-2</v>
      </c>
      <c r="M332" s="8">
        <v>2</v>
      </c>
      <c r="N332">
        <f t="shared" si="133"/>
        <v>2022</v>
      </c>
      <c r="O332" s="8">
        <f t="shared" si="134"/>
        <v>3232406</v>
      </c>
      <c r="P332" s="9">
        <f t="shared" si="135"/>
        <v>81295.010899999994</v>
      </c>
      <c r="Q332" s="5">
        <f t="shared" si="136"/>
        <v>81295.010899999994</v>
      </c>
      <c r="R332" s="5">
        <f t="shared" si="137"/>
        <v>20323.752724999998</v>
      </c>
      <c r="S332" s="8">
        <f t="shared" si="138"/>
        <v>4.4295336816531155</v>
      </c>
      <c r="T332" s="7">
        <f t="shared" si="139"/>
        <v>4.4989589125865419E-2</v>
      </c>
    </row>
    <row r="333" spans="1:20" hidden="1" x14ac:dyDescent="0.25">
      <c r="A333" t="str">
        <f t="shared" si="140"/>
        <v>44012Fomento</v>
      </c>
      <c r="B333" t="str">
        <f t="shared" si="141"/>
        <v>44012BRF</v>
      </c>
      <c r="C333" s="4">
        <v>44012</v>
      </c>
      <c r="D333" t="s">
        <v>45</v>
      </c>
      <c r="E333" t="s">
        <v>28</v>
      </c>
      <c r="F333" t="s">
        <v>50</v>
      </c>
      <c r="G333" t="s">
        <v>23</v>
      </c>
      <c r="H333" s="5">
        <v>0</v>
      </c>
      <c r="I333" s="4">
        <f t="shared" si="144"/>
        <v>44012</v>
      </c>
      <c r="J333" t="s">
        <v>51</v>
      </c>
      <c r="K333" s="10"/>
      <c r="L333" s="10">
        <v>0</v>
      </c>
      <c r="M333" s="8">
        <v>0</v>
      </c>
      <c r="N333">
        <f t="shared" si="133"/>
        <v>2020</v>
      </c>
      <c r="O333" s="8">
        <f t="shared" si="134"/>
        <v>0</v>
      </c>
      <c r="P333" s="9">
        <f t="shared" si="135"/>
        <v>0</v>
      </c>
      <c r="Q333" s="5">
        <f t="shared" si="136"/>
        <v>0</v>
      </c>
      <c r="R333" s="5">
        <f t="shared" si="137"/>
        <v>0</v>
      </c>
      <c r="S333" s="8">
        <f t="shared" si="138"/>
        <v>4.4295336816531155</v>
      </c>
      <c r="T333" s="7">
        <f t="shared" si="139"/>
        <v>4.4989589125865419E-2</v>
      </c>
    </row>
    <row r="334" spans="1:20" hidden="1" x14ac:dyDescent="0.25">
      <c r="A334" t="str">
        <f t="shared" si="140"/>
        <v>44012Debentures</v>
      </c>
      <c r="B334" t="str">
        <f t="shared" si="141"/>
        <v>44012BRF</v>
      </c>
      <c r="C334" s="4">
        <v>44012</v>
      </c>
      <c r="D334" t="s">
        <v>45</v>
      </c>
      <c r="E334" t="s">
        <v>52</v>
      </c>
      <c r="F334" t="s">
        <v>52</v>
      </c>
      <c r="G334" t="s">
        <v>23</v>
      </c>
      <c r="H334" s="5">
        <v>757016</v>
      </c>
      <c r="I334" s="4">
        <f t="shared" si="144"/>
        <v>46019.5</v>
      </c>
      <c r="J334" t="s">
        <v>49</v>
      </c>
      <c r="K334" s="10"/>
      <c r="L334" s="7">
        <v>5.6300000000000003E-2</v>
      </c>
      <c r="M334" s="8">
        <v>5.5</v>
      </c>
      <c r="N334">
        <f t="shared" si="133"/>
        <v>2025</v>
      </c>
      <c r="O334" s="8">
        <f t="shared" si="134"/>
        <v>4163588</v>
      </c>
      <c r="P334" s="9">
        <f t="shared" si="135"/>
        <v>42620.000800000002</v>
      </c>
      <c r="Q334" s="5">
        <f t="shared" si="136"/>
        <v>42620.000800000002</v>
      </c>
      <c r="R334" s="5">
        <f t="shared" si="137"/>
        <v>10655.0002</v>
      </c>
      <c r="S334" s="8">
        <f t="shared" si="138"/>
        <v>4.4295336816531155</v>
      </c>
      <c r="T334" s="7">
        <f t="shared" si="139"/>
        <v>4.4989589125865419E-2</v>
      </c>
    </row>
    <row r="335" spans="1:20" hidden="1" x14ac:dyDescent="0.25">
      <c r="A335" t="str">
        <f t="shared" si="140"/>
        <v>44012NCE</v>
      </c>
      <c r="B335" t="str">
        <f t="shared" si="141"/>
        <v>44012BRF</v>
      </c>
      <c r="C335" s="4">
        <v>44012</v>
      </c>
      <c r="D335" t="s">
        <v>45</v>
      </c>
      <c r="E335" t="s">
        <v>28</v>
      </c>
      <c r="F335" t="s">
        <v>31</v>
      </c>
      <c r="G335" t="s">
        <v>23</v>
      </c>
      <c r="H335" s="5">
        <v>3621927</v>
      </c>
      <c r="I335" s="4">
        <f t="shared" si="144"/>
        <v>45983</v>
      </c>
      <c r="J335" t="s">
        <v>82</v>
      </c>
      <c r="K335" s="10"/>
      <c r="L335" s="7">
        <v>4.58E-2</v>
      </c>
      <c r="M335" s="8">
        <v>5.4</v>
      </c>
      <c r="N335">
        <f t="shared" si="133"/>
        <v>2025</v>
      </c>
      <c r="O335" s="8">
        <f t="shared" si="134"/>
        <v>19558405.800000001</v>
      </c>
      <c r="P335" s="9">
        <f t="shared" si="135"/>
        <v>165884.25659999999</v>
      </c>
      <c r="Q335" s="5">
        <f t="shared" si="136"/>
        <v>165884.25659999999</v>
      </c>
      <c r="R335" s="5">
        <f t="shared" si="137"/>
        <v>41471.064149999998</v>
      </c>
      <c r="S335" s="8">
        <f t="shared" si="138"/>
        <v>4.4295336816531155</v>
      </c>
      <c r="T335" s="7">
        <f t="shared" si="139"/>
        <v>4.4989589125865419E-2</v>
      </c>
    </row>
    <row r="336" spans="1:20" hidden="1" x14ac:dyDescent="0.25">
      <c r="A336" t="str">
        <f t="shared" si="140"/>
        <v>44012Incentivos Fiscais</v>
      </c>
      <c r="B336" t="str">
        <f t="shared" si="141"/>
        <v>44012BRF</v>
      </c>
      <c r="C336" s="4">
        <v>44012</v>
      </c>
      <c r="D336" t="s">
        <v>45</v>
      </c>
      <c r="E336" t="s">
        <v>28</v>
      </c>
      <c r="F336" t="s">
        <v>53</v>
      </c>
      <c r="G336" t="s">
        <v>23</v>
      </c>
      <c r="H336" s="5">
        <v>40281</v>
      </c>
      <c r="I336" s="4">
        <f t="shared" si="144"/>
        <v>44012</v>
      </c>
      <c r="J336" t="s">
        <v>54</v>
      </c>
      <c r="K336" s="10"/>
      <c r="L336" s="7">
        <v>2.4E-2</v>
      </c>
      <c r="M336" s="8">
        <v>0</v>
      </c>
      <c r="N336">
        <f t="shared" si="133"/>
        <v>2020</v>
      </c>
      <c r="O336" s="8">
        <f t="shared" si="134"/>
        <v>0</v>
      </c>
      <c r="P336" s="9">
        <f t="shared" si="135"/>
        <v>966.74400000000003</v>
      </c>
      <c r="Q336" s="5">
        <f t="shared" si="136"/>
        <v>966.74400000000003</v>
      </c>
      <c r="R336" s="5">
        <f t="shared" si="137"/>
        <v>241.68600000000001</v>
      </c>
      <c r="S336" s="8">
        <f t="shared" si="138"/>
        <v>4.4295336816531155</v>
      </c>
      <c r="T336" s="7">
        <f t="shared" si="139"/>
        <v>4.4989589125865419E-2</v>
      </c>
    </row>
    <row r="337" spans="1:22" hidden="1" x14ac:dyDescent="0.25">
      <c r="A337" t="str">
        <f t="shared" si="140"/>
        <v>44012Bond</v>
      </c>
      <c r="B337" t="str">
        <f t="shared" si="141"/>
        <v>44012BRF</v>
      </c>
      <c r="C337" s="4">
        <v>44012</v>
      </c>
      <c r="D337" t="s">
        <v>45</v>
      </c>
      <c r="E337" t="s">
        <v>35</v>
      </c>
      <c r="F337" t="s">
        <v>35</v>
      </c>
      <c r="G337" t="s">
        <v>34</v>
      </c>
      <c r="H337" s="5">
        <v>14196628</v>
      </c>
      <c r="I337" s="4">
        <f t="shared" si="144"/>
        <v>46019.5</v>
      </c>
      <c r="J337" t="s">
        <v>54</v>
      </c>
      <c r="K337" s="10"/>
      <c r="L337" s="7">
        <v>4.3700000000000003E-2</v>
      </c>
      <c r="M337" s="8">
        <v>5.5</v>
      </c>
      <c r="N337">
        <f t="shared" si="133"/>
        <v>2025</v>
      </c>
      <c r="O337" s="8">
        <f t="shared" si="134"/>
        <v>78081454</v>
      </c>
      <c r="P337" s="9">
        <f t="shared" si="135"/>
        <v>620392.64360000007</v>
      </c>
      <c r="Q337" s="5">
        <f t="shared" si="136"/>
        <v>620392.64360000007</v>
      </c>
      <c r="R337" s="5">
        <f t="shared" si="137"/>
        <v>155098.16090000002</v>
      </c>
      <c r="S337" s="8">
        <f t="shared" si="138"/>
        <v>4.4295336816531155</v>
      </c>
      <c r="T337" s="7">
        <f t="shared" si="139"/>
        <v>4.4989589125865419E-2</v>
      </c>
    </row>
    <row r="338" spans="1:22" hidden="1" x14ac:dyDescent="0.25">
      <c r="A338" t="str">
        <f t="shared" si="140"/>
        <v>44012PPE</v>
      </c>
      <c r="B338" t="str">
        <f t="shared" si="141"/>
        <v>44012BRF</v>
      </c>
      <c r="C338" s="4">
        <v>44012</v>
      </c>
      <c r="D338" t="s">
        <v>45</v>
      </c>
      <c r="E338" t="s">
        <v>28</v>
      </c>
      <c r="F338" t="s">
        <v>36</v>
      </c>
      <c r="G338" t="s">
        <v>34</v>
      </c>
      <c r="H338" s="5">
        <v>414324</v>
      </c>
      <c r="I338" s="4">
        <f t="shared" si="144"/>
        <v>44997.5</v>
      </c>
      <c r="J338" t="s">
        <v>55</v>
      </c>
      <c r="K338" s="10"/>
      <c r="L338" s="7">
        <v>4.3700000000000003E-2</v>
      </c>
      <c r="M338" s="8">
        <v>2.7</v>
      </c>
      <c r="N338">
        <f t="shared" si="133"/>
        <v>2023</v>
      </c>
      <c r="O338" s="8">
        <f t="shared" si="134"/>
        <v>1118674.8</v>
      </c>
      <c r="P338" s="9">
        <f t="shared" si="135"/>
        <v>18105.9588</v>
      </c>
      <c r="Q338" s="5">
        <f t="shared" si="136"/>
        <v>18105.9588</v>
      </c>
      <c r="R338" s="5">
        <f t="shared" si="137"/>
        <v>4526.4897000000001</v>
      </c>
      <c r="S338" s="8">
        <f t="shared" si="138"/>
        <v>4.4295336816531155</v>
      </c>
      <c r="T338" s="7">
        <f t="shared" si="139"/>
        <v>4.4989589125865419E-2</v>
      </c>
    </row>
    <row r="339" spans="1:22" hidden="1" x14ac:dyDescent="0.25">
      <c r="A339" t="str">
        <f t="shared" si="140"/>
        <v>44012ACC</v>
      </c>
      <c r="B339" t="str">
        <f t="shared" si="141"/>
        <v>44012BRF</v>
      </c>
      <c r="C339" s="4">
        <v>44012</v>
      </c>
      <c r="D339" t="s">
        <v>45</v>
      </c>
      <c r="E339" t="s">
        <v>28</v>
      </c>
      <c r="F339" t="s">
        <v>33</v>
      </c>
      <c r="G339" t="s">
        <v>34</v>
      </c>
      <c r="H339" s="5">
        <v>551338</v>
      </c>
      <c r="I339" s="4">
        <f t="shared" si="144"/>
        <v>44304</v>
      </c>
      <c r="J339" t="s">
        <v>55</v>
      </c>
      <c r="K339" s="10"/>
      <c r="L339" s="7">
        <v>3.8800000000000001E-2</v>
      </c>
      <c r="M339" s="8">
        <v>0.8</v>
      </c>
      <c r="N339">
        <f t="shared" si="133"/>
        <v>2021</v>
      </c>
      <c r="O339" s="8">
        <f t="shared" si="134"/>
        <v>441070.4</v>
      </c>
      <c r="P339" s="9">
        <f t="shared" si="135"/>
        <v>21391.914400000001</v>
      </c>
      <c r="Q339" s="5">
        <f t="shared" si="136"/>
        <v>21391.914400000001</v>
      </c>
      <c r="R339" s="5">
        <f t="shared" si="137"/>
        <v>5347.9786000000004</v>
      </c>
      <c r="S339" s="8">
        <f t="shared" si="138"/>
        <v>4.4295336816531155</v>
      </c>
      <c r="T339" s="7">
        <f t="shared" si="139"/>
        <v>4.4989589125865419E-2</v>
      </c>
    </row>
    <row r="340" spans="1:22" hidden="1" x14ac:dyDescent="0.25">
      <c r="A340" t="str">
        <f t="shared" si="140"/>
        <v>44012KG</v>
      </c>
      <c r="B340" t="str">
        <f t="shared" si="141"/>
        <v>44012BRF</v>
      </c>
      <c r="C340" s="4">
        <v>44012</v>
      </c>
      <c r="D340" t="s">
        <v>45</v>
      </c>
      <c r="E340" t="s">
        <v>28</v>
      </c>
      <c r="F340" t="s">
        <v>46</v>
      </c>
      <c r="G340" t="s">
        <v>56</v>
      </c>
      <c r="H340" s="5">
        <v>478174</v>
      </c>
      <c r="I340" s="4">
        <f t="shared" si="144"/>
        <v>44523</v>
      </c>
      <c r="J340" t="s">
        <v>54</v>
      </c>
      <c r="K340" s="10"/>
      <c r="L340" s="7">
        <v>0.1019</v>
      </c>
      <c r="M340" s="8">
        <v>1.4</v>
      </c>
      <c r="N340">
        <f t="shared" si="133"/>
        <v>2021</v>
      </c>
      <c r="O340" s="8">
        <f t="shared" si="134"/>
        <v>669443.6</v>
      </c>
      <c r="P340" s="9">
        <f t="shared" si="135"/>
        <v>48725.9306</v>
      </c>
      <c r="Q340" s="5">
        <f t="shared" si="136"/>
        <v>48725.9306</v>
      </c>
      <c r="R340" s="5">
        <f t="shared" si="137"/>
        <v>12181.48265</v>
      </c>
      <c r="S340" s="8">
        <f t="shared" si="138"/>
        <v>4.4295336816531155</v>
      </c>
      <c r="T340" s="7">
        <f t="shared" si="139"/>
        <v>4.4989589125865419E-2</v>
      </c>
    </row>
    <row r="341" spans="1:22" hidden="1" x14ac:dyDescent="0.25">
      <c r="A341" t="str">
        <f t="shared" si="140"/>
        <v>44012Derivativo</v>
      </c>
      <c r="B341" t="str">
        <f t="shared" si="141"/>
        <v>44012BRF</v>
      </c>
      <c r="C341" s="4">
        <v>44012</v>
      </c>
      <c r="D341" t="s">
        <v>45</v>
      </c>
      <c r="E341" t="s">
        <v>28</v>
      </c>
      <c r="F341" t="s">
        <v>57</v>
      </c>
      <c r="G341" t="s">
        <v>23</v>
      </c>
      <c r="I341" s="4">
        <f t="shared" si="144"/>
        <v>44012</v>
      </c>
      <c r="N341">
        <f t="shared" si="133"/>
        <v>2020</v>
      </c>
      <c r="O341" s="8">
        <f t="shared" si="134"/>
        <v>0</v>
      </c>
      <c r="P341" s="9">
        <f t="shared" si="135"/>
        <v>0</v>
      </c>
      <c r="Q341" s="5">
        <f t="shared" si="136"/>
        <v>0</v>
      </c>
      <c r="R341" s="5">
        <f t="shared" si="137"/>
        <v>0</v>
      </c>
      <c r="S341" s="8">
        <f t="shared" si="138"/>
        <v>4.4295336816531155</v>
      </c>
      <c r="T341" s="14">
        <f t="shared" si="139"/>
        <v>4.4989589125865419E-2</v>
      </c>
    </row>
    <row r="342" spans="1:22" x14ac:dyDescent="0.25">
      <c r="A342" t="str">
        <f>C342&amp;F342</f>
        <v>44104Debênture 5</v>
      </c>
      <c r="B342" t="str">
        <f>C342&amp;D342</f>
        <v>44104Minerva</v>
      </c>
      <c r="C342" s="4">
        <v>44104</v>
      </c>
      <c r="D342" t="s">
        <v>20</v>
      </c>
      <c r="E342" t="s">
        <v>21</v>
      </c>
      <c r="F342" t="s">
        <v>75</v>
      </c>
      <c r="G342" t="s">
        <v>23</v>
      </c>
      <c r="H342" s="5">
        <v>354846</v>
      </c>
      <c r="I342" s="4">
        <v>44106</v>
      </c>
      <c r="J342" t="s">
        <v>24</v>
      </c>
      <c r="K342" s="6">
        <v>1.0549999999999999</v>
      </c>
      <c r="L342" s="7">
        <f>(((1+1.9%)^(1/252)-1)*K342+1)^(252)-1</f>
        <v>2.0055369799031997E-2</v>
      </c>
      <c r="M342" s="8">
        <f t="shared" ref="M342:M373" si="145">(I342-C342)/365</f>
        <v>5.4794520547945206E-3</v>
      </c>
      <c r="N342">
        <f t="shared" si="133"/>
        <v>2020</v>
      </c>
      <c r="O342" s="8">
        <f t="shared" si="134"/>
        <v>1944.3616438356164</v>
      </c>
      <c r="P342" s="9">
        <f t="shared" si="135"/>
        <v>7116.5677517073082</v>
      </c>
      <c r="Q342" s="5">
        <f t="shared" si="136"/>
        <v>7116.5677517073082</v>
      </c>
      <c r="R342" s="5">
        <f t="shared" si="137"/>
        <v>1779.141937926827</v>
      </c>
      <c r="S342" s="8">
        <f t="shared" si="138"/>
        <v>4.9534172178957112</v>
      </c>
      <c r="T342" s="7">
        <f t="shared" si="139"/>
        <v>5.4462027005982835E-2</v>
      </c>
      <c r="U342" s="8"/>
      <c r="V342" s="10"/>
    </row>
    <row r="343" spans="1:22" x14ac:dyDescent="0.25">
      <c r="A343" t="str">
        <f t="shared" ref="A343:A384" si="146">C343&amp;F343</f>
        <v>44104Debênture 6</v>
      </c>
      <c r="B343" t="str">
        <f t="shared" ref="B343:B384" si="147">C343&amp;D343</f>
        <v>44104Minerva</v>
      </c>
      <c r="C343" s="4">
        <v>44104</v>
      </c>
      <c r="D343" t="s">
        <v>20</v>
      </c>
      <c r="E343" t="s">
        <v>21</v>
      </c>
      <c r="F343" t="s">
        <v>76</v>
      </c>
      <c r="G343" t="s">
        <v>23</v>
      </c>
      <c r="H343" s="5">
        <v>402931</v>
      </c>
      <c r="I343" s="4">
        <v>44696</v>
      </c>
      <c r="J343" t="s">
        <v>24</v>
      </c>
      <c r="K343" s="10">
        <v>1.7999999999999999E-2</v>
      </c>
      <c r="L343" s="10">
        <f>((1+K343)*(1+1.9%)-1)</f>
        <v>3.7341999999999986E-2</v>
      </c>
      <c r="M343" s="8">
        <f t="shared" si="145"/>
        <v>1.6219178082191781</v>
      </c>
      <c r="N343">
        <f t="shared" si="133"/>
        <v>2022</v>
      </c>
      <c r="O343" s="8">
        <f t="shared" si="134"/>
        <v>653520.96438356163</v>
      </c>
      <c r="P343" s="9">
        <f t="shared" si="135"/>
        <v>15046.249401999994</v>
      </c>
      <c r="Q343" s="5">
        <f t="shared" si="136"/>
        <v>15046.249401999994</v>
      </c>
      <c r="R343" s="5">
        <f t="shared" si="137"/>
        <v>3761.5623504999985</v>
      </c>
      <c r="S343" s="8">
        <f t="shared" si="138"/>
        <v>4.9534172178957112</v>
      </c>
      <c r="T343" s="7">
        <f t="shared" si="139"/>
        <v>5.4462027005982835E-2</v>
      </c>
      <c r="U343" s="8"/>
      <c r="V343" s="11"/>
    </row>
    <row r="344" spans="1:22" x14ac:dyDescent="0.25">
      <c r="A344" t="str">
        <f t="shared" si="146"/>
        <v>44104Debênture 7</v>
      </c>
      <c r="B344" t="str">
        <f t="shared" si="147"/>
        <v>44104Minerva</v>
      </c>
      <c r="C344" s="4">
        <v>44104</v>
      </c>
      <c r="D344" t="s">
        <v>20</v>
      </c>
      <c r="E344" t="s">
        <v>21</v>
      </c>
      <c r="F344" t="s">
        <v>77</v>
      </c>
      <c r="G344" t="s">
        <v>23</v>
      </c>
      <c r="H344" s="5">
        <v>517308</v>
      </c>
      <c r="I344" s="4">
        <v>45427</v>
      </c>
      <c r="J344" t="s">
        <v>27</v>
      </c>
      <c r="K344" s="10">
        <v>4.4999999999999998E-2</v>
      </c>
      <c r="L344" s="7">
        <f>K344+3.5%</f>
        <v>0.08</v>
      </c>
      <c r="M344" s="8">
        <f t="shared" si="145"/>
        <v>3.6246575342465754</v>
      </c>
      <c r="N344">
        <f t="shared" si="133"/>
        <v>2024</v>
      </c>
      <c r="O344" s="8">
        <f t="shared" si="134"/>
        <v>1875064.3397260273</v>
      </c>
      <c r="P344" s="9">
        <f t="shared" si="135"/>
        <v>41384.639999999999</v>
      </c>
      <c r="Q344" s="5">
        <f t="shared" si="136"/>
        <v>41384.639999999999</v>
      </c>
      <c r="R344" s="5">
        <f t="shared" si="137"/>
        <v>10346.16</v>
      </c>
      <c r="S344" s="8">
        <f t="shared" si="138"/>
        <v>4.9534172178957112</v>
      </c>
      <c r="T344" s="7">
        <f t="shared" si="139"/>
        <v>5.4462027005982835E-2</v>
      </c>
      <c r="U344" s="8"/>
      <c r="V344" s="11"/>
    </row>
    <row r="345" spans="1:22" x14ac:dyDescent="0.25">
      <c r="A345" t="str">
        <f t="shared" si="146"/>
        <v>44104Debênture 8 - 1</v>
      </c>
      <c r="B345" t="str">
        <f t="shared" si="147"/>
        <v>44104Minerva</v>
      </c>
      <c r="C345" s="4">
        <v>44104</v>
      </c>
      <c r="D345" t="s">
        <v>20</v>
      </c>
      <c r="E345" t="s">
        <v>21</v>
      </c>
      <c r="F345" t="s">
        <v>78</v>
      </c>
      <c r="G345" t="s">
        <v>23</v>
      </c>
      <c r="H345" s="5">
        <v>593356</v>
      </c>
      <c r="I345" s="4">
        <v>45790</v>
      </c>
      <c r="J345" t="s">
        <v>79</v>
      </c>
      <c r="K345" s="10">
        <v>1.6</v>
      </c>
      <c r="L345" s="7">
        <f>(((1+1.9%)^(1/252)-1)*K345+1)^(252)-1</f>
        <v>3.0572148547360678E-2</v>
      </c>
      <c r="M345" s="8">
        <f t="shared" si="145"/>
        <v>4.6191780821917812</v>
      </c>
      <c r="N345">
        <f t="shared" si="133"/>
        <v>2025</v>
      </c>
      <c r="O345" s="8">
        <f t="shared" si="134"/>
        <v>2740817.0301369866</v>
      </c>
      <c r="P345" s="9">
        <f t="shared" si="135"/>
        <v>18140.167773467743</v>
      </c>
      <c r="Q345" s="5">
        <f t="shared" si="136"/>
        <v>18140.167773467743</v>
      </c>
      <c r="R345" s="5">
        <f t="shared" si="137"/>
        <v>4535.0419433669358</v>
      </c>
      <c r="S345" s="8">
        <f t="shared" si="138"/>
        <v>4.9534172178957112</v>
      </c>
      <c r="T345" s="7">
        <f t="shared" si="139"/>
        <v>5.4462027005982835E-2</v>
      </c>
      <c r="U345" s="8"/>
      <c r="V345" s="11"/>
    </row>
    <row r="346" spans="1:22" x14ac:dyDescent="0.25">
      <c r="A346" t="str">
        <f t="shared" si="146"/>
        <v>44104Debênture 8 - 2</v>
      </c>
      <c r="B346" t="str">
        <f t="shared" si="147"/>
        <v>44104Minerva</v>
      </c>
      <c r="C346" s="4">
        <v>44104</v>
      </c>
      <c r="D346" t="s">
        <v>20</v>
      </c>
      <c r="E346" t="s">
        <v>21</v>
      </c>
      <c r="F346" t="s">
        <v>80</v>
      </c>
      <c r="G346" t="s">
        <v>23</v>
      </c>
      <c r="H346" s="5">
        <v>0</v>
      </c>
      <c r="I346" s="4">
        <v>46155</v>
      </c>
      <c r="J346" t="s">
        <v>79</v>
      </c>
      <c r="K346" s="10">
        <v>1.6</v>
      </c>
      <c r="L346" s="7">
        <f>(((1+1.9%)^(1/252)-1)*K346+1)^(252)-1</f>
        <v>3.0572148547360678E-2</v>
      </c>
      <c r="M346" s="8">
        <f t="shared" si="145"/>
        <v>5.6191780821917812</v>
      </c>
      <c r="N346">
        <f t="shared" si="133"/>
        <v>2026</v>
      </c>
      <c r="O346" s="8">
        <f t="shared" si="134"/>
        <v>0</v>
      </c>
      <c r="P346" s="9">
        <f t="shared" si="135"/>
        <v>0</v>
      </c>
      <c r="Q346" s="5">
        <f t="shared" si="136"/>
        <v>0</v>
      </c>
      <c r="R346" s="5">
        <f t="shared" si="137"/>
        <v>0</v>
      </c>
      <c r="S346" s="8">
        <f t="shared" si="138"/>
        <v>4.9534172178957112</v>
      </c>
      <c r="T346" s="7">
        <f t="shared" si="139"/>
        <v>5.4462027005982835E-2</v>
      </c>
      <c r="U346" s="8"/>
      <c r="V346" s="11"/>
    </row>
    <row r="347" spans="1:22" x14ac:dyDescent="0.25">
      <c r="A347" t="str">
        <f t="shared" si="146"/>
        <v>44104Debênture 9</v>
      </c>
      <c r="B347" t="str">
        <f t="shared" si="147"/>
        <v>44104Minerva</v>
      </c>
      <c r="C347" s="4">
        <v>44104</v>
      </c>
      <c r="D347" t="s">
        <v>20</v>
      </c>
      <c r="E347" t="s">
        <v>21</v>
      </c>
      <c r="F347" t="s">
        <v>81</v>
      </c>
      <c r="G347" t="s">
        <v>23</v>
      </c>
      <c r="H347" s="5">
        <v>597780</v>
      </c>
      <c r="I347" s="4">
        <v>45820</v>
      </c>
      <c r="J347" t="s">
        <v>79</v>
      </c>
      <c r="K347" s="10">
        <v>1.6</v>
      </c>
      <c r="L347" s="7">
        <f>(((1+1.9%)^(1/252)-1)*K347+1)^(252)-1</f>
        <v>3.0572148547360678E-2</v>
      </c>
      <c r="M347" s="8">
        <f t="shared" si="145"/>
        <v>4.7013698630136984</v>
      </c>
      <c r="N347">
        <f t="shared" si="133"/>
        <v>2025</v>
      </c>
      <c r="O347" s="8">
        <f t="shared" si="134"/>
        <v>2810384.8767123288</v>
      </c>
      <c r="P347" s="9">
        <f t="shared" si="135"/>
        <v>18275.418958641265</v>
      </c>
      <c r="Q347" s="5">
        <f t="shared" si="136"/>
        <v>18275.418958641265</v>
      </c>
      <c r="R347" s="5">
        <f t="shared" si="137"/>
        <v>4568.8547396603162</v>
      </c>
      <c r="S347" s="8">
        <f t="shared" si="138"/>
        <v>4.9534172178957112</v>
      </c>
      <c r="T347" s="7">
        <f t="shared" si="139"/>
        <v>5.4462027005982835E-2</v>
      </c>
      <c r="U347" s="8"/>
      <c r="V347" s="11"/>
    </row>
    <row r="348" spans="1:22" x14ac:dyDescent="0.25">
      <c r="A348" t="str">
        <f t="shared" si="146"/>
        <v>44104CCB</v>
      </c>
      <c r="B348" t="str">
        <f t="shared" si="147"/>
        <v>44104Minerva</v>
      </c>
      <c r="C348" s="4">
        <v>44104</v>
      </c>
      <c r="D348" t="s">
        <v>20</v>
      </c>
      <c r="E348" t="s">
        <v>28</v>
      </c>
      <c r="F348" t="s">
        <v>29</v>
      </c>
      <c r="G348" t="s">
        <v>23</v>
      </c>
      <c r="H348" s="5">
        <v>22535</v>
      </c>
      <c r="I348" s="4">
        <v>43983</v>
      </c>
      <c r="J348" t="s">
        <v>30</v>
      </c>
      <c r="K348" s="10">
        <v>8.3500000000000005E-2</v>
      </c>
      <c r="L348" s="10">
        <f>K348</f>
        <v>8.3500000000000005E-2</v>
      </c>
      <c r="M348" s="8">
        <f t="shared" si="145"/>
        <v>-0.33150684931506852</v>
      </c>
      <c r="N348">
        <f t="shared" si="133"/>
        <v>2020</v>
      </c>
      <c r="O348" s="8">
        <f t="shared" si="134"/>
        <v>-7470.5068493150693</v>
      </c>
      <c r="P348" s="9">
        <f t="shared" si="135"/>
        <v>1881.6725000000001</v>
      </c>
      <c r="Q348" s="5">
        <f t="shared" si="136"/>
        <v>1881.6725000000001</v>
      </c>
      <c r="R348" s="5">
        <f t="shared" si="137"/>
        <v>470.41812500000003</v>
      </c>
      <c r="S348" s="8">
        <f t="shared" si="138"/>
        <v>4.9534172178957112</v>
      </c>
      <c r="T348" s="7">
        <f t="shared" si="139"/>
        <v>5.4462027005982835E-2</v>
      </c>
      <c r="U348" s="8"/>
      <c r="V348" s="11"/>
    </row>
    <row r="349" spans="1:22" x14ac:dyDescent="0.25">
      <c r="A349" t="str">
        <f t="shared" si="146"/>
        <v>44104CCB</v>
      </c>
      <c r="B349" t="str">
        <f t="shared" si="147"/>
        <v>44104Minerva</v>
      </c>
      <c r="C349" s="4">
        <v>44104</v>
      </c>
      <c r="D349" t="s">
        <v>20</v>
      </c>
      <c r="E349" t="s">
        <v>28</v>
      </c>
      <c r="F349" t="s">
        <v>29</v>
      </c>
      <c r="G349" t="s">
        <v>23</v>
      </c>
      <c r="H349" s="5">
        <v>50000</v>
      </c>
      <c r="I349" s="4">
        <v>44348</v>
      </c>
      <c r="J349" t="s">
        <v>30</v>
      </c>
      <c r="K349" s="10">
        <v>8.3500000000000005E-2</v>
      </c>
      <c r="L349" s="10">
        <f>K349</f>
        <v>8.3500000000000005E-2</v>
      </c>
      <c r="M349" s="8">
        <f t="shared" si="145"/>
        <v>0.66849315068493154</v>
      </c>
      <c r="N349">
        <f t="shared" si="133"/>
        <v>2021</v>
      </c>
      <c r="O349" s="8">
        <f t="shared" si="134"/>
        <v>33424.65753424658</v>
      </c>
      <c r="P349" s="9">
        <f t="shared" si="135"/>
        <v>4175</v>
      </c>
      <c r="Q349" s="5">
        <f t="shared" si="136"/>
        <v>4175</v>
      </c>
      <c r="R349" s="5">
        <f t="shared" si="137"/>
        <v>1043.75</v>
      </c>
      <c r="S349" s="8">
        <f t="shared" si="138"/>
        <v>4.9534172178957112</v>
      </c>
      <c r="T349" s="7">
        <f t="shared" si="139"/>
        <v>5.4462027005982835E-2</v>
      </c>
      <c r="U349" s="8"/>
      <c r="V349" s="11"/>
    </row>
    <row r="350" spans="1:22" x14ac:dyDescent="0.25">
      <c r="A350" t="str">
        <f t="shared" si="146"/>
        <v>44104CCB</v>
      </c>
      <c r="B350" t="str">
        <f t="shared" si="147"/>
        <v>44104Minerva</v>
      </c>
      <c r="C350" s="4">
        <v>44104</v>
      </c>
      <c r="D350" t="s">
        <v>20</v>
      </c>
      <c r="E350" t="s">
        <v>28</v>
      </c>
      <c r="F350" t="s">
        <v>29</v>
      </c>
      <c r="G350" t="s">
        <v>23</v>
      </c>
      <c r="H350" s="5">
        <v>304749</v>
      </c>
      <c r="I350" s="4">
        <v>44377</v>
      </c>
      <c r="J350" t="s">
        <v>24</v>
      </c>
      <c r="K350" s="10">
        <v>0.04</v>
      </c>
      <c r="L350" s="10">
        <f>K350</f>
        <v>0.04</v>
      </c>
      <c r="M350" s="8">
        <f t="shared" si="145"/>
        <v>0.74794520547945209</v>
      </c>
      <c r="N350">
        <f t="shared" si="133"/>
        <v>2021</v>
      </c>
      <c r="O350" s="8">
        <f t="shared" si="134"/>
        <v>227935.55342465756</v>
      </c>
      <c r="P350" s="9">
        <f t="shared" si="135"/>
        <v>12189.960000000001</v>
      </c>
      <c r="Q350" s="5">
        <f t="shared" si="136"/>
        <v>12189.960000000001</v>
      </c>
      <c r="R350" s="5">
        <f t="shared" si="137"/>
        <v>3047.4900000000002</v>
      </c>
      <c r="S350" s="8">
        <f t="shared" si="138"/>
        <v>4.9534172178957112</v>
      </c>
      <c r="T350" s="7">
        <f t="shared" si="139"/>
        <v>5.4462027005982835E-2</v>
      </c>
      <c r="U350" s="8"/>
      <c r="V350" s="11"/>
    </row>
    <row r="351" spans="1:22" x14ac:dyDescent="0.25">
      <c r="A351" t="str">
        <f t="shared" si="146"/>
        <v>44104NCE</v>
      </c>
      <c r="B351" t="str">
        <f t="shared" si="147"/>
        <v>44104Minerva</v>
      </c>
      <c r="C351" s="4">
        <v>44104</v>
      </c>
      <c r="D351" t="s">
        <v>20</v>
      </c>
      <c r="E351" t="s">
        <v>31</v>
      </c>
      <c r="F351" t="s">
        <v>31</v>
      </c>
      <c r="G351" t="s">
        <v>23</v>
      </c>
      <c r="H351" s="5">
        <v>105825</v>
      </c>
      <c r="I351" s="4">
        <v>44377</v>
      </c>
      <c r="J351" t="s">
        <v>24</v>
      </c>
      <c r="K351" s="10">
        <v>0.04</v>
      </c>
      <c r="L351" s="7">
        <f>K351+2.15%</f>
        <v>6.1499999999999999E-2</v>
      </c>
      <c r="M351" s="8">
        <f t="shared" si="145"/>
        <v>0.74794520547945209</v>
      </c>
      <c r="N351">
        <f t="shared" si="133"/>
        <v>2021</v>
      </c>
      <c r="O351" s="8">
        <f t="shared" si="134"/>
        <v>79151.301369863024</v>
      </c>
      <c r="P351" s="9">
        <f t="shared" si="135"/>
        <v>6508.2375000000002</v>
      </c>
      <c r="Q351" s="5">
        <f t="shared" si="136"/>
        <v>6508.2375000000002</v>
      </c>
      <c r="R351" s="5">
        <f t="shared" si="137"/>
        <v>1627.059375</v>
      </c>
      <c r="S351" s="8">
        <f t="shared" si="138"/>
        <v>4.9534172178957112</v>
      </c>
      <c r="T351" s="7">
        <f t="shared" si="139"/>
        <v>5.4462027005982835E-2</v>
      </c>
      <c r="U351" s="8"/>
      <c r="V351" s="11"/>
    </row>
    <row r="352" spans="1:22" x14ac:dyDescent="0.25">
      <c r="A352" t="str">
        <f t="shared" si="146"/>
        <v>44104IFC</v>
      </c>
      <c r="B352" t="str">
        <f t="shared" si="147"/>
        <v>44104Minerva</v>
      </c>
      <c r="C352" s="4">
        <v>44104</v>
      </c>
      <c r="D352" t="s">
        <v>20</v>
      </c>
      <c r="E352" t="s">
        <v>28</v>
      </c>
      <c r="F352" t="s">
        <v>32</v>
      </c>
      <c r="G352" t="s">
        <v>23</v>
      </c>
      <c r="H352" s="5">
        <v>17215</v>
      </c>
      <c r="I352" s="4">
        <v>44301</v>
      </c>
      <c r="J352" t="s">
        <v>24</v>
      </c>
      <c r="K352" s="10">
        <v>2.35E-2</v>
      </c>
      <c r="L352" s="7">
        <v>7.0000000000000007E-2</v>
      </c>
      <c r="M352" s="8">
        <f t="shared" si="145"/>
        <v>0.53972602739726028</v>
      </c>
      <c r="N352">
        <f t="shared" si="133"/>
        <v>2021</v>
      </c>
      <c r="O352" s="8">
        <f t="shared" si="134"/>
        <v>9291.3835616438355</v>
      </c>
      <c r="P352" s="9">
        <f t="shared" si="135"/>
        <v>1205.0500000000002</v>
      </c>
      <c r="Q352" s="5">
        <f t="shared" si="136"/>
        <v>1205.0500000000002</v>
      </c>
      <c r="R352" s="5">
        <f t="shared" si="137"/>
        <v>301.26250000000005</v>
      </c>
      <c r="S352" s="8">
        <f t="shared" si="138"/>
        <v>4.9534172178957112</v>
      </c>
      <c r="T352" s="7">
        <f t="shared" si="139"/>
        <v>5.4462027005982835E-2</v>
      </c>
      <c r="U352" s="8"/>
      <c r="V352" s="11"/>
    </row>
    <row r="353" spans="1:22" x14ac:dyDescent="0.25">
      <c r="A353" t="str">
        <f t="shared" si="146"/>
        <v>44104IFC</v>
      </c>
      <c r="B353" t="str">
        <f t="shared" si="147"/>
        <v>44104Minerva</v>
      </c>
      <c r="C353" s="4">
        <v>44104</v>
      </c>
      <c r="D353" t="s">
        <v>20</v>
      </c>
      <c r="E353" t="s">
        <v>28</v>
      </c>
      <c r="F353" t="s">
        <v>32</v>
      </c>
      <c r="G353" t="s">
        <v>23</v>
      </c>
      <c r="H353" s="5">
        <v>17215</v>
      </c>
      <c r="I353" s="4">
        <v>44666</v>
      </c>
      <c r="J353" t="s">
        <v>24</v>
      </c>
      <c r="K353" s="10">
        <v>2.35E-2</v>
      </c>
      <c r="L353" s="7">
        <v>7.0000000000000007E-2</v>
      </c>
      <c r="M353" s="8">
        <f t="shared" si="145"/>
        <v>1.5397260273972602</v>
      </c>
      <c r="N353">
        <f t="shared" si="133"/>
        <v>2022</v>
      </c>
      <c r="O353" s="8">
        <f t="shared" si="134"/>
        <v>26506.383561643834</v>
      </c>
      <c r="P353" s="9">
        <f t="shared" si="135"/>
        <v>1205.0500000000002</v>
      </c>
      <c r="Q353" s="5">
        <f t="shared" si="136"/>
        <v>1205.0500000000002</v>
      </c>
      <c r="R353" s="5">
        <f t="shared" si="137"/>
        <v>301.26250000000005</v>
      </c>
      <c r="S353" s="8">
        <f t="shared" si="138"/>
        <v>4.9534172178957112</v>
      </c>
      <c r="T353" s="7">
        <f t="shared" si="139"/>
        <v>5.4462027005982835E-2</v>
      </c>
      <c r="U353" s="8"/>
      <c r="V353" s="11"/>
    </row>
    <row r="354" spans="1:22" x14ac:dyDescent="0.25">
      <c r="A354" t="str">
        <f t="shared" si="146"/>
        <v>44104IFC</v>
      </c>
      <c r="B354" t="str">
        <f t="shared" si="147"/>
        <v>44104Minerva</v>
      </c>
      <c r="C354" s="4">
        <v>44104</v>
      </c>
      <c r="D354" t="s">
        <v>20</v>
      </c>
      <c r="E354" t="s">
        <v>28</v>
      </c>
      <c r="F354" t="s">
        <v>32</v>
      </c>
      <c r="G354" t="s">
        <v>23</v>
      </c>
      <c r="H354" s="5">
        <f>52226-H352-H353</f>
        <v>17796</v>
      </c>
      <c r="I354" s="4">
        <v>45031</v>
      </c>
      <c r="J354" t="s">
        <v>24</v>
      </c>
      <c r="K354" s="10">
        <v>2.35E-2</v>
      </c>
      <c r="L354" s="7">
        <v>7.0000000000000007E-2</v>
      </c>
      <c r="M354" s="8">
        <f t="shared" si="145"/>
        <v>2.5397260273972604</v>
      </c>
      <c r="N354">
        <f t="shared" si="133"/>
        <v>2023</v>
      </c>
      <c r="O354" s="8">
        <f t="shared" si="134"/>
        <v>45196.964383561644</v>
      </c>
      <c r="P354" s="9">
        <f t="shared" si="135"/>
        <v>1245.72</v>
      </c>
      <c r="Q354" s="5">
        <f t="shared" si="136"/>
        <v>1245.72</v>
      </c>
      <c r="R354" s="5">
        <f t="shared" si="137"/>
        <v>311.43</v>
      </c>
      <c r="S354" s="8">
        <f t="shared" si="138"/>
        <v>4.9534172178957112</v>
      </c>
      <c r="T354" s="7">
        <f t="shared" si="139"/>
        <v>5.4462027005982835E-2</v>
      </c>
      <c r="U354" s="8"/>
      <c r="V354" s="11"/>
    </row>
    <row r="355" spans="1:22" x14ac:dyDescent="0.25">
      <c r="A355" t="str">
        <f t="shared" si="146"/>
        <v>44104ACC</v>
      </c>
      <c r="B355" t="str">
        <f t="shared" si="147"/>
        <v>44104Minerva</v>
      </c>
      <c r="C355" s="4">
        <v>44104</v>
      </c>
      <c r="D355" t="s">
        <v>20</v>
      </c>
      <c r="E355" t="s">
        <v>33</v>
      </c>
      <c r="F355" t="s">
        <v>33</v>
      </c>
      <c r="G355" t="s">
        <v>34</v>
      </c>
      <c r="H355" s="5">
        <v>378790</v>
      </c>
      <c r="I355" s="4">
        <v>43983</v>
      </c>
      <c r="J355" t="s">
        <v>30</v>
      </c>
      <c r="K355" s="10">
        <v>5.5E-2</v>
      </c>
      <c r="L355" s="10">
        <f>K355</f>
        <v>5.5E-2</v>
      </c>
      <c r="M355" s="8">
        <f t="shared" si="145"/>
        <v>-0.33150684931506852</v>
      </c>
      <c r="N355">
        <f t="shared" si="133"/>
        <v>2020</v>
      </c>
      <c r="O355" s="8">
        <f t="shared" si="134"/>
        <v>-125571.4794520548</v>
      </c>
      <c r="P355" s="9">
        <f t="shared" si="135"/>
        <v>20833.45</v>
      </c>
      <c r="Q355" s="5">
        <f t="shared" si="136"/>
        <v>20833.45</v>
      </c>
      <c r="R355" s="5">
        <f t="shared" si="137"/>
        <v>5208.3625000000002</v>
      </c>
      <c r="S355" s="8">
        <f t="shared" si="138"/>
        <v>4.9534172178957112</v>
      </c>
      <c r="T355" s="7">
        <f t="shared" si="139"/>
        <v>5.4462027005982835E-2</v>
      </c>
      <c r="U355" s="8"/>
    </row>
    <row r="356" spans="1:22" x14ac:dyDescent="0.25">
      <c r="A356" t="str">
        <f t="shared" si="146"/>
        <v>44104Bond</v>
      </c>
      <c r="B356" t="str">
        <f t="shared" si="147"/>
        <v>44104Minerva</v>
      </c>
      <c r="C356" s="4">
        <v>44104</v>
      </c>
      <c r="D356" t="s">
        <v>20</v>
      </c>
      <c r="E356" t="s">
        <v>35</v>
      </c>
      <c r="F356" t="s">
        <v>35</v>
      </c>
      <c r="G356" t="s">
        <v>34</v>
      </c>
      <c r="H356" s="5">
        <v>0</v>
      </c>
      <c r="I356" s="4">
        <v>44002</v>
      </c>
      <c r="J356" t="s">
        <v>30</v>
      </c>
      <c r="K356" s="10">
        <v>6.5000000000000002E-2</v>
      </c>
      <c r="L356" s="10">
        <f t="shared" ref="L356:L358" si="148">K356</f>
        <v>6.5000000000000002E-2</v>
      </c>
      <c r="M356" s="8">
        <f t="shared" si="145"/>
        <v>-0.27945205479452057</v>
      </c>
      <c r="N356">
        <f t="shared" si="133"/>
        <v>2020</v>
      </c>
      <c r="O356" s="8">
        <f t="shared" si="134"/>
        <v>0</v>
      </c>
      <c r="P356" s="9">
        <f t="shared" si="135"/>
        <v>0</v>
      </c>
      <c r="Q356" s="5">
        <f t="shared" si="136"/>
        <v>0</v>
      </c>
      <c r="R356" s="5">
        <f t="shared" si="137"/>
        <v>0</v>
      </c>
      <c r="S356" s="8">
        <f t="shared" si="138"/>
        <v>4.9534172178957112</v>
      </c>
      <c r="T356" s="7">
        <f t="shared" si="139"/>
        <v>5.4462027005982835E-2</v>
      </c>
    </row>
    <row r="357" spans="1:22" x14ac:dyDescent="0.25">
      <c r="A357" t="str">
        <f t="shared" si="146"/>
        <v>44104Bond</v>
      </c>
      <c r="B357" t="str">
        <f t="shared" si="147"/>
        <v>44104Minerva</v>
      </c>
      <c r="C357" s="4">
        <v>44104</v>
      </c>
      <c r="D357" t="s">
        <v>20</v>
      </c>
      <c r="E357" t="s">
        <v>35</v>
      </c>
      <c r="F357" t="s">
        <v>35</v>
      </c>
      <c r="G357" t="s">
        <v>34</v>
      </c>
      <c r="H357" s="5">
        <v>6235771</v>
      </c>
      <c r="I357" s="4">
        <v>46285</v>
      </c>
      <c r="J357" t="s">
        <v>30</v>
      </c>
      <c r="K357" s="10">
        <v>6.5000000000000002E-2</v>
      </c>
      <c r="L357" s="10">
        <f t="shared" si="148"/>
        <v>6.5000000000000002E-2</v>
      </c>
      <c r="M357" s="8">
        <f t="shared" si="145"/>
        <v>5.9753424657534246</v>
      </c>
      <c r="N357">
        <f t="shared" si="133"/>
        <v>2026</v>
      </c>
      <c r="O357" s="8">
        <f t="shared" si="134"/>
        <v>37260867.263013698</v>
      </c>
      <c r="P357" s="9">
        <f t="shared" si="135"/>
        <v>405325.11499999999</v>
      </c>
      <c r="Q357" s="5">
        <f t="shared" si="136"/>
        <v>405325.11499999999</v>
      </c>
      <c r="R357" s="5">
        <f t="shared" si="137"/>
        <v>101331.27875</v>
      </c>
      <c r="S357" s="8">
        <f t="shared" si="138"/>
        <v>4.9534172178957112</v>
      </c>
      <c r="T357" s="7">
        <f t="shared" si="139"/>
        <v>5.4462027005982835E-2</v>
      </c>
    </row>
    <row r="358" spans="1:22" x14ac:dyDescent="0.25">
      <c r="A358" t="str">
        <f t="shared" si="146"/>
        <v>44104Bond</v>
      </c>
      <c r="B358" t="str">
        <f t="shared" si="147"/>
        <v>44104Minerva</v>
      </c>
      <c r="C358" s="4">
        <v>44104</v>
      </c>
      <c r="D358" t="s">
        <v>20</v>
      </c>
      <c r="E358" t="s">
        <v>35</v>
      </c>
      <c r="F358" t="s">
        <v>35</v>
      </c>
      <c r="G358" t="s">
        <v>34</v>
      </c>
      <c r="H358" s="5">
        <v>2434985</v>
      </c>
      <c r="I358" s="4">
        <v>47016</v>
      </c>
      <c r="J358" t="s">
        <v>30</v>
      </c>
      <c r="K358" s="10">
        <v>5.8749999999999997E-2</v>
      </c>
      <c r="L358" s="10">
        <f t="shared" si="148"/>
        <v>5.8749999999999997E-2</v>
      </c>
      <c r="M358" s="8">
        <f t="shared" si="145"/>
        <v>7.978082191780822</v>
      </c>
      <c r="N358">
        <f t="shared" si="133"/>
        <v>2028</v>
      </c>
      <c r="O358" s="8">
        <f t="shared" si="134"/>
        <v>19426510.465753425</v>
      </c>
      <c r="P358" s="9">
        <f t="shared" si="135"/>
        <v>143055.36874999999</v>
      </c>
      <c r="Q358" s="5">
        <f t="shared" si="136"/>
        <v>143055.36874999999</v>
      </c>
      <c r="R358" s="5">
        <f t="shared" si="137"/>
        <v>35763.842187499999</v>
      </c>
      <c r="S358" s="8">
        <f t="shared" si="138"/>
        <v>4.9534172178957112</v>
      </c>
      <c r="T358" s="7">
        <f t="shared" si="139"/>
        <v>5.4462027005982835E-2</v>
      </c>
    </row>
    <row r="359" spans="1:22" x14ac:dyDescent="0.25">
      <c r="A359" t="str">
        <f t="shared" si="146"/>
        <v>44104PPE</v>
      </c>
      <c r="B359" t="str">
        <f t="shared" si="147"/>
        <v>44104Minerva</v>
      </c>
      <c r="C359" s="4">
        <v>44104</v>
      </c>
      <c r="D359" t="s">
        <v>20</v>
      </c>
      <c r="E359" t="s">
        <v>36</v>
      </c>
      <c r="F359" t="s">
        <v>36</v>
      </c>
      <c r="G359" t="s">
        <v>34</v>
      </c>
      <c r="H359" s="5">
        <v>0</v>
      </c>
      <c r="I359" s="4">
        <v>44348</v>
      </c>
      <c r="J359" t="s">
        <v>37</v>
      </c>
      <c r="K359" s="12">
        <v>0.02</v>
      </c>
      <c r="L359" s="7">
        <v>2.5000000000000001E-2</v>
      </c>
      <c r="M359" s="8">
        <f t="shared" si="145"/>
        <v>0.66849315068493154</v>
      </c>
      <c r="N359">
        <f t="shared" si="133"/>
        <v>2021</v>
      </c>
      <c r="O359" s="8">
        <f t="shared" si="134"/>
        <v>0</v>
      </c>
      <c r="P359" s="9">
        <f t="shared" si="135"/>
        <v>0</v>
      </c>
      <c r="Q359" s="5">
        <f t="shared" si="136"/>
        <v>0</v>
      </c>
      <c r="R359" s="5">
        <f t="shared" si="137"/>
        <v>0</v>
      </c>
      <c r="S359" s="8">
        <f t="shared" si="138"/>
        <v>4.9534172178957112</v>
      </c>
      <c r="T359" s="7">
        <f t="shared" si="139"/>
        <v>5.4462027005982835E-2</v>
      </c>
    </row>
    <row r="360" spans="1:22" x14ac:dyDescent="0.25">
      <c r="A360" t="str">
        <f t="shared" si="146"/>
        <v>44104PPE</v>
      </c>
      <c r="B360" t="str">
        <f t="shared" si="147"/>
        <v>44104Minerva</v>
      </c>
      <c r="C360" s="4">
        <v>44104</v>
      </c>
      <c r="D360" t="s">
        <v>20</v>
      </c>
      <c r="E360" t="s">
        <v>36</v>
      </c>
      <c r="F360" t="s">
        <v>36</v>
      </c>
      <c r="G360" t="s">
        <v>34</v>
      </c>
      <c r="H360" s="5">
        <v>996445</v>
      </c>
      <c r="I360" s="4">
        <v>44348</v>
      </c>
      <c r="J360" t="s">
        <v>37</v>
      </c>
      <c r="K360" s="12">
        <v>0.02</v>
      </c>
      <c r="L360" s="7">
        <v>2.5000000000000001E-2</v>
      </c>
      <c r="M360" s="8">
        <f t="shared" si="145"/>
        <v>0.66849315068493154</v>
      </c>
      <c r="N360">
        <f t="shared" si="133"/>
        <v>2021</v>
      </c>
      <c r="O360" s="8">
        <f t="shared" si="134"/>
        <v>666116.65753424657</v>
      </c>
      <c r="P360" s="9">
        <f t="shared" si="135"/>
        <v>24911.125</v>
      </c>
      <c r="Q360" s="5">
        <f t="shared" si="136"/>
        <v>24911.125</v>
      </c>
      <c r="R360" s="5">
        <f t="shared" si="137"/>
        <v>6227.78125</v>
      </c>
      <c r="S360" s="8">
        <f t="shared" si="138"/>
        <v>4.9534172178957112</v>
      </c>
      <c r="T360" s="7">
        <f t="shared" si="139"/>
        <v>5.4462027005982835E-2</v>
      </c>
    </row>
    <row r="361" spans="1:22" x14ac:dyDescent="0.25">
      <c r="A361" t="str">
        <f t="shared" si="146"/>
        <v>44104PPE</v>
      </c>
      <c r="B361" t="str">
        <f t="shared" si="147"/>
        <v>44104Minerva</v>
      </c>
      <c r="C361" s="4">
        <v>44104</v>
      </c>
      <c r="D361" t="s">
        <v>20</v>
      </c>
      <c r="E361" t="s">
        <v>36</v>
      </c>
      <c r="F361" t="s">
        <v>36</v>
      </c>
      <c r="G361" t="s">
        <v>34</v>
      </c>
      <c r="H361" s="5">
        <v>0</v>
      </c>
      <c r="I361" s="4">
        <v>44713</v>
      </c>
      <c r="J361" t="s">
        <v>37</v>
      </c>
      <c r="K361" s="12">
        <v>0.02</v>
      </c>
      <c r="L361" s="7">
        <v>2.5000000000000001E-2</v>
      </c>
      <c r="M361" s="8">
        <f t="shared" si="145"/>
        <v>1.6684931506849314</v>
      </c>
      <c r="N361">
        <f t="shared" si="133"/>
        <v>2022</v>
      </c>
      <c r="O361" s="8">
        <f t="shared" si="134"/>
        <v>0</v>
      </c>
      <c r="P361" s="9">
        <f t="shared" si="135"/>
        <v>0</v>
      </c>
      <c r="Q361" s="5">
        <f t="shared" si="136"/>
        <v>0</v>
      </c>
      <c r="R361" s="5">
        <f t="shared" si="137"/>
        <v>0</v>
      </c>
      <c r="S361" s="8">
        <f t="shared" si="138"/>
        <v>4.9534172178957112</v>
      </c>
      <c r="T361" s="7">
        <f t="shared" si="139"/>
        <v>5.4462027005982835E-2</v>
      </c>
    </row>
    <row r="362" spans="1:22" x14ac:dyDescent="0.25">
      <c r="A362" t="str">
        <f t="shared" si="146"/>
        <v>44104Secured Loan</v>
      </c>
      <c r="B362" t="str">
        <f t="shared" si="147"/>
        <v>44104Minerva</v>
      </c>
      <c r="C362" s="4">
        <v>44104</v>
      </c>
      <c r="D362" t="s">
        <v>20</v>
      </c>
      <c r="E362" t="s">
        <v>28</v>
      </c>
      <c r="F362" t="s">
        <v>39</v>
      </c>
      <c r="G362" t="s">
        <v>34</v>
      </c>
      <c r="H362" s="5">
        <v>16241</v>
      </c>
      <c r="I362" s="4">
        <v>43983</v>
      </c>
      <c r="J362" t="s">
        <v>30</v>
      </c>
      <c r="K362" s="10">
        <v>6.5000000000000002E-2</v>
      </c>
      <c r="L362" s="10">
        <f t="shared" ref="L362:L373" si="149">K362</f>
        <v>6.5000000000000002E-2</v>
      </c>
      <c r="M362" s="8">
        <f t="shared" si="145"/>
        <v>-0.33150684931506852</v>
      </c>
      <c r="N362">
        <f t="shared" ref="N362:N384" si="150">YEAR(I362)</f>
        <v>2020</v>
      </c>
      <c r="O362" s="8">
        <f t="shared" ref="O362:O384" si="151">M362*H362</f>
        <v>-5384.0027397260283</v>
      </c>
      <c r="P362" s="9">
        <f t="shared" ref="P362:P384" si="152">L362*H362</f>
        <v>1055.665</v>
      </c>
      <c r="Q362" s="5">
        <f t="shared" ref="Q362:Q384" si="153">H362*L362</f>
        <v>1055.665</v>
      </c>
      <c r="R362" s="5">
        <f t="shared" ref="R362:R384" si="154">Q362/4</f>
        <v>263.91624999999999</v>
      </c>
      <c r="S362" s="8">
        <f t="shared" ref="S362:S384" si="155">SUMIFS($O:$O,$C:$C,$C362,$D:$D,D362)/SUMIFS($H:$H,$C:$C,$C362,$D:$D,D362)</f>
        <v>4.9534172178957112</v>
      </c>
      <c r="T362" s="7">
        <f t="shared" ref="T362:T384" si="156">SUMIFS($P:$P,$C:$C,$C362,$D:$D,D362)/SUMIFS($H:$H,$C:$C,$C362,$D:$D,D362)</f>
        <v>5.4462027005982835E-2</v>
      </c>
    </row>
    <row r="363" spans="1:22" x14ac:dyDescent="0.25">
      <c r="A363" t="str">
        <f t="shared" si="146"/>
        <v>44104Outros</v>
      </c>
      <c r="B363" t="str">
        <f t="shared" si="147"/>
        <v>44104Minerva</v>
      </c>
      <c r="C363" s="4">
        <v>44104</v>
      </c>
      <c r="D363" t="s">
        <v>20</v>
      </c>
      <c r="E363" t="s">
        <v>28</v>
      </c>
      <c r="F363" t="s">
        <v>28</v>
      </c>
      <c r="G363" t="s">
        <v>34</v>
      </c>
      <c r="H363" s="5">
        <v>328108</v>
      </c>
      <c r="I363" s="4">
        <v>43983</v>
      </c>
      <c r="J363" t="s">
        <v>30</v>
      </c>
      <c r="K363" s="10">
        <v>6.5000000000000002E-2</v>
      </c>
      <c r="L363" s="10">
        <f t="shared" si="149"/>
        <v>6.5000000000000002E-2</v>
      </c>
      <c r="M363" s="8">
        <f t="shared" si="145"/>
        <v>-0.33150684931506852</v>
      </c>
      <c r="N363">
        <f t="shared" si="150"/>
        <v>2020</v>
      </c>
      <c r="O363" s="8">
        <f t="shared" si="151"/>
        <v>-108770.04931506851</v>
      </c>
      <c r="P363" s="9">
        <f t="shared" si="152"/>
        <v>21327.02</v>
      </c>
      <c r="Q363" s="5">
        <f t="shared" si="153"/>
        <v>21327.02</v>
      </c>
      <c r="R363" s="5">
        <f t="shared" si="154"/>
        <v>5331.7550000000001</v>
      </c>
      <c r="S363" s="8">
        <f t="shared" si="155"/>
        <v>4.9534172178957112</v>
      </c>
      <c r="T363" s="7">
        <f t="shared" si="156"/>
        <v>5.4462027005982835E-2</v>
      </c>
    </row>
    <row r="364" spans="1:22" x14ac:dyDescent="0.25">
      <c r="A364" t="str">
        <f t="shared" si="146"/>
        <v>44104Derivativos</v>
      </c>
      <c r="B364" t="str">
        <f t="shared" si="147"/>
        <v>44104Minerva</v>
      </c>
      <c r="C364" s="4">
        <v>44104</v>
      </c>
      <c r="D364" t="s">
        <v>20</v>
      </c>
      <c r="E364" t="s">
        <v>28</v>
      </c>
      <c r="F364" t="s">
        <v>40</v>
      </c>
      <c r="G364" t="s">
        <v>34</v>
      </c>
      <c r="H364" s="5">
        <f>-453023-1020854-SUM(H365:H373)</f>
        <v>-356315</v>
      </c>
      <c r="I364" s="4">
        <v>43983</v>
      </c>
      <c r="J364" t="s">
        <v>30</v>
      </c>
      <c r="K364" s="10">
        <v>6.5000000000000002E-2</v>
      </c>
      <c r="L364" s="10">
        <f t="shared" si="149"/>
        <v>6.5000000000000002E-2</v>
      </c>
      <c r="M364" s="8">
        <f t="shared" si="145"/>
        <v>-0.33150684931506852</v>
      </c>
      <c r="N364">
        <f t="shared" si="150"/>
        <v>2020</v>
      </c>
      <c r="O364" s="8">
        <f t="shared" si="151"/>
        <v>118120.86301369863</v>
      </c>
      <c r="P364" s="9">
        <f t="shared" si="152"/>
        <v>-23160.475000000002</v>
      </c>
      <c r="Q364" s="5">
        <f t="shared" si="153"/>
        <v>-23160.475000000002</v>
      </c>
      <c r="R364" s="5">
        <f t="shared" si="154"/>
        <v>-5790.1187500000005</v>
      </c>
      <c r="S364" s="8">
        <f t="shared" si="155"/>
        <v>4.9534172178957112</v>
      </c>
      <c r="T364" s="7">
        <f t="shared" si="156"/>
        <v>5.4462027005982835E-2</v>
      </c>
    </row>
    <row r="365" spans="1:22" x14ac:dyDescent="0.25">
      <c r="A365" t="str">
        <f t="shared" si="146"/>
        <v>44104Derivativos</v>
      </c>
      <c r="B365" t="str">
        <f t="shared" si="147"/>
        <v>44104Minerva</v>
      </c>
      <c r="C365" s="4">
        <v>44104</v>
      </c>
      <c r="D365" t="s">
        <v>20</v>
      </c>
      <c r="E365" t="s">
        <v>28</v>
      </c>
      <c r="F365" t="s">
        <v>40</v>
      </c>
      <c r="G365" t="s">
        <v>34</v>
      </c>
      <c r="H365" s="5">
        <v>-21269</v>
      </c>
      <c r="I365" s="4">
        <v>44348</v>
      </c>
      <c r="J365" t="s">
        <v>30</v>
      </c>
      <c r="K365" s="10">
        <v>6.5000000000000002E-2</v>
      </c>
      <c r="L365" s="10">
        <f t="shared" si="149"/>
        <v>6.5000000000000002E-2</v>
      </c>
      <c r="M365" s="8">
        <f t="shared" si="145"/>
        <v>0.66849315068493154</v>
      </c>
      <c r="N365">
        <f t="shared" si="150"/>
        <v>2021</v>
      </c>
      <c r="O365" s="8">
        <f t="shared" si="151"/>
        <v>-14218.180821917809</v>
      </c>
      <c r="P365" s="9">
        <f t="shared" si="152"/>
        <v>-1382.4850000000001</v>
      </c>
      <c r="Q365" s="5">
        <f t="shared" si="153"/>
        <v>-1382.4850000000001</v>
      </c>
      <c r="R365" s="5">
        <f t="shared" si="154"/>
        <v>-345.62125000000003</v>
      </c>
      <c r="S365" s="8">
        <f t="shared" si="155"/>
        <v>4.9534172178957112</v>
      </c>
      <c r="T365" s="7">
        <f t="shared" si="156"/>
        <v>5.4462027005982835E-2</v>
      </c>
    </row>
    <row r="366" spans="1:22" x14ac:dyDescent="0.25">
      <c r="A366" t="str">
        <f t="shared" si="146"/>
        <v>44104Derivativos</v>
      </c>
      <c r="B366" t="str">
        <f t="shared" si="147"/>
        <v>44104Minerva</v>
      </c>
      <c r="C366" s="4">
        <v>44104</v>
      </c>
      <c r="D366" t="s">
        <v>20</v>
      </c>
      <c r="E366" t="s">
        <v>28</v>
      </c>
      <c r="F366" t="s">
        <v>40</v>
      </c>
      <c r="G366" t="s">
        <v>34</v>
      </c>
      <c r="H366" s="5">
        <v>-1675</v>
      </c>
      <c r="I366" s="4">
        <v>44713</v>
      </c>
      <c r="J366" t="s">
        <v>30</v>
      </c>
      <c r="K366" s="10">
        <v>6.5000000000000002E-2</v>
      </c>
      <c r="L366" s="10">
        <f t="shared" si="149"/>
        <v>6.5000000000000002E-2</v>
      </c>
      <c r="M366" s="8">
        <f t="shared" si="145"/>
        <v>1.6684931506849314</v>
      </c>
      <c r="N366">
        <f t="shared" si="150"/>
        <v>2022</v>
      </c>
      <c r="O366" s="8">
        <f t="shared" si="151"/>
        <v>-2794.7260273972602</v>
      </c>
      <c r="P366" s="9">
        <f t="shared" si="152"/>
        <v>-108.875</v>
      </c>
      <c r="Q366" s="5">
        <f t="shared" si="153"/>
        <v>-108.875</v>
      </c>
      <c r="R366" s="5">
        <f t="shared" si="154"/>
        <v>-27.21875</v>
      </c>
      <c r="S366" s="8">
        <f t="shared" si="155"/>
        <v>4.9534172178957112</v>
      </c>
      <c r="T366" s="7">
        <f t="shared" si="156"/>
        <v>5.4462027005982835E-2</v>
      </c>
    </row>
    <row r="367" spans="1:22" x14ac:dyDescent="0.25">
      <c r="A367" t="str">
        <f t="shared" si="146"/>
        <v>44104Derivativos</v>
      </c>
      <c r="B367" t="str">
        <f t="shared" si="147"/>
        <v>44104Minerva</v>
      </c>
      <c r="C367" s="4">
        <v>44104</v>
      </c>
      <c r="D367" t="s">
        <v>20</v>
      </c>
      <c r="E367" t="s">
        <v>28</v>
      </c>
      <c r="F367" t="s">
        <v>40</v>
      </c>
      <c r="G367" t="s">
        <v>34</v>
      </c>
      <c r="H367" s="5">
        <v>27869</v>
      </c>
      <c r="I367" s="4">
        <v>45078</v>
      </c>
      <c r="J367" t="s">
        <v>30</v>
      </c>
      <c r="K367" s="10">
        <v>6.5000000000000002E-2</v>
      </c>
      <c r="L367" s="10">
        <f t="shared" si="149"/>
        <v>6.5000000000000002E-2</v>
      </c>
      <c r="M367" s="8">
        <f t="shared" si="145"/>
        <v>2.6684931506849314</v>
      </c>
      <c r="N367">
        <f t="shared" si="150"/>
        <v>2023</v>
      </c>
      <c r="O367" s="8">
        <f t="shared" si="151"/>
        <v>74368.235616438353</v>
      </c>
      <c r="P367" s="9">
        <f t="shared" si="152"/>
        <v>1811.4850000000001</v>
      </c>
      <c r="Q367" s="5">
        <f t="shared" si="153"/>
        <v>1811.4850000000001</v>
      </c>
      <c r="R367" s="5">
        <f t="shared" si="154"/>
        <v>452.87125000000003</v>
      </c>
      <c r="S367" s="8">
        <f t="shared" si="155"/>
        <v>4.9534172178957112</v>
      </c>
      <c r="T367" s="7">
        <f t="shared" si="156"/>
        <v>5.4462027005982835E-2</v>
      </c>
    </row>
    <row r="368" spans="1:22" x14ac:dyDescent="0.25">
      <c r="A368" t="str">
        <f t="shared" si="146"/>
        <v>44104Derivativos</v>
      </c>
      <c r="B368" t="str">
        <f t="shared" si="147"/>
        <v>44104Minerva</v>
      </c>
      <c r="C368" s="4">
        <v>44104</v>
      </c>
      <c r="D368" t="s">
        <v>20</v>
      </c>
      <c r="E368" t="s">
        <v>28</v>
      </c>
      <c r="F368" t="s">
        <v>40</v>
      </c>
      <c r="G368" t="s">
        <v>34</v>
      </c>
      <c r="H368" s="5">
        <v>-322257</v>
      </c>
      <c r="I368" s="4">
        <v>45444</v>
      </c>
      <c r="J368" t="s">
        <v>30</v>
      </c>
      <c r="K368" s="10">
        <v>6.5000000000000002E-2</v>
      </c>
      <c r="L368" s="10">
        <f t="shared" si="149"/>
        <v>6.5000000000000002E-2</v>
      </c>
      <c r="M368" s="8">
        <f t="shared" si="145"/>
        <v>3.6712328767123288</v>
      </c>
      <c r="N368">
        <f t="shared" si="150"/>
        <v>2024</v>
      </c>
      <c r="O368" s="8">
        <f t="shared" si="151"/>
        <v>-1183080.493150685</v>
      </c>
      <c r="P368" s="9">
        <f t="shared" si="152"/>
        <v>-20946.705000000002</v>
      </c>
      <c r="Q368" s="5">
        <f t="shared" si="153"/>
        <v>-20946.705000000002</v>
      </c>
      <c r="R368" s="5">
        <f t="shared" si="154"/>
        <v>-5236.6762500000004</v>
      </c>
      <c r="S368" s="8">
        <f t="shared" si="155"/>
        <v>4.9534172178957112</v>
      </c>
      <c r="T368" s="7">
        <f t="shared" si="156"/>
        <v>5.4462027005982835E-2</v>
      </c>
    </row>
    <row r="369" spans="1:20" x14ac:dyDescent="0.25">
      <c r="A369" t="str">
        <f t="shared" si="146"/>
        <v>44104Derivativos</v>
      </c>
      <c r="B369" t="str">
        <f t="shared" si="147"/>
        <v>44104Minerva</v>
      </c>
      <c r="C369" s="4">
        <v>44104</v>
      </c>
      <c r="D369" t="s">
        <v>20</v>
      </c>
      <c r="E369" t="s">
        <v>28</v>
      </c>
      <c r="F369" t="s">
        <v>40</v>
      </c>
      <c r="G369" t="s">
        <v>34</v>
      </c>
      <c r="H369" s="5">
        <v>-271233</v>
      </c>
      <c r="I369" s="4">
        <v>45809</v>
      </c>
      <c r="J369" t="s">
        <v>30</v>
      </c>
      <c r="K369" s="10">
        <v>6.5000000000000002E-2</v>
      </c>
      <c r="L369" s="10">
        <f t="shared" si="149"/>
        <v>6.5000000000000002E-2</v>
      </c>
      <c r="M369" s="8">
        <f t="shared" si="145"/>
        <v>4.6712328767123283</v>
      </c>
      <c r="N369">
        <f t="shared" si="150"/>
        <v>2025</v>
      </c>
      <c r="O369" s="8">
        <f t="shared" si="151"/>
        <v>-1266992.506849315</v>
      </c>
      <c r="P369" s="9">
        <f t="shared" si="152"/>
        <v>-17630.145</v>
      </c>
      <c r="Q369" s="5">
        <f t="shared" si="153"/>
        <v>-17630.145</v>
      </c>
      <c r="R369" s="5">
        <f t="shared" si="154"/>
        <v>-4407.5362500000001</v>
      </c>
      <c r="S369" s="8">
        <f t="shared" si="155"/>
        <v>4.9534172178957112</v>
      </c>
      <c r="T369" s="7">
        <f t="shared" si="156"/>
        <v>5.4462027005982835E-2</v>
      </c>
    </row>
    <row r="370" spans="1:20" x14ac:dyDescent="0.25">
      <c r="A370" t="str">
        <f t="shared" si="146"/>
        <v>44104Derivativos</v>
      </c>
      <c r="B370" t="str">
        <f t="shared" si="147"/>
        <v>44104Minerva</v>
      </c>
      <c r="C370" s="4">
        <v>44104</v>
      </c>
      <c r="D370" t="s">
        <v>20</v>
      </c>
      <c r="E370" t="s">
        <v>28</v>
      </c>
      <c r="F370" t="s">
        <v>40</v>
      </c>
      <c r="G370" t="s">
        <v>34</v>
      </c>
      <c r="H370" s="5">
        <v>0</v>
      </c>
      <c r="I370" s="4">
        <v>46174</v>
      </c>
      <c r="J370" t="s">
        <v>30</v>
      </c>
      <c r="K370" s="10">
        <v>6.5000000000000002E-2</v>
      </c>
      <c r="L370" s="10">
        <f t="shared" si="149"/>
        <v>6.5000000000000002E-2</v>
      </c>
      <c r="M370" s="8">
        <f t="shared" si="145"/>
        <v>5.6712328767123283</v>
      </c>
      <c r="N370">
        <f t="shared" si="150"/>
        <v>2026</v>
      </c>
      <c r="O370" s="8">
        <f t="shared" si="151"/>
        <v>0</v>
      </c>
      <c r="P370" s="9">
        <f t="shared" si="152"/>
        <v>0</v>
      </c>
      <c r="Q370" s="5">
        <f t="shared" si="153"/>
        <v>0</v>
      </c>
      <c r="R370" s="5">
        <f t="shared" si="154"/>
        <v>0</v>
      </c>
      <c r="S370" s="8">
        <f t="shared" si="155"/>
        <v>4.9534172178957112</v>
      </c>
      <c r="T370" s="7">
        <f t="shared" si="156"/>
        <v>5.4462027005982835E-2</v>
      </c>
    </row>
    <row r="371" spans="1:20" x14ac:dyDescent="0.25">
      <c r="A371" t="str">
        <f t="shared" si="146"/>
        <v>44104Derivativos</v>
      </c>
      <c r="B371" t="str">
        <f t="shared" si="147"/>
        <v>44104Minerva</v>
      </c>
      <c r="C371" s="4">
        <v>44104</v>
      </c>
      <c r="D371" t="s">
        <v>20</v>
      </c>
      <c r="E371" t="s">
        <v>28</v>
      </c>
      <c r="F371" t="s">
        <v>40</v>
      </c>
      <c r="G371" t="s">
        <v>34</v>
      </c>
      <c r="H371" s="5">
        <v>-144046</v>
      </c>
      <c r="I371" s="4">
        <v>46539</v>
      </c>
      <c r="J371" t="s">
        <v>30</v>
      </c>
      <c r="K371" s="10">
        <v>6.5000000000000002E-2</v>
      </c>
      <c r="L371" s="10">
        <f t="shared" si="149"/>
        <v>6.5000000000000002E-2</v>
      </c>
      <c r="M371" s="8">
        <f t="shared" si="145"/>
        <v>6.6712328767123283</v>
      </c>
      <c r="N371">
        <f t="shared" si="150"/>
        <v>2027</v>
      </c>
      <c r="O371" s="8">
        <f t="shared" si="151"/>
        <v>-960964.41095890407</v>
      </c>
      <c r="P371" s="9">
        <f t="shared" si="152"/>
        <v>-9362.99</v>
      </c>
      <c r="Q371" s="5">
        <f t="shared" si="153"/>
        <v>-9362.99</v>
      </c>
      <c r="R371" s="5">
        <f t="shared" si="154"/>
        <v>-2340.7474999999999</v>
      </c>
      <c r="S371" s="8">
        <f t="shared" si="155"/>
        <v>4.9534172178957112</v>
      </c>
      <c r="T371" s="7">
        <f t="shared" si="156"/>
        <v>5.4462027005982835E-2</v>
      </c>
    </row>
    <row r="372" spans="1:20" x14ac:dyDescent="0.25">
      <c r="A372" t="str">
        <f t="shared" si="146"/>
        <v>44104Derivativos</v>
      </c>
      <c r="B372" t="str">
        <f t="shared" si="147"/>
        <v>44104Minerva</v>
      </c>
      <c r="C372" s="4">
        <v>44104</v>
      </c>
      <c r="D372" t="s">
        <v>20</v>
      </c>
      <c r="E372" t="s">
        <v>28</v>
      </c>
      <c r="F372" t="s">
        <v>40</v>
      </c>
      <c r="G372" t="s">
        <v>34</v>
      </c>
      <c r="H372" s="5">
        <v>0</v>
      </c>
      <c r="I372" s="4">
        <v>46905</v>
      </c>
      <c r="J372" t="s">
        <v>30</v>
      </c>
      <c r="K372" s="10">
        <v>6.5000000000000002E-2</v>
      </c>
      <c r="L372" s="10">
        <f t="shared" si="149"/>
        <v>6.5000000000000002E-2</v>
      </c>
      <c r="M372" s="8">
        <f t="shared" si="145"/>
        <v>7.6739726027397257</v>
      </c>
      <c r="N372">
        <f t="shared" si="150"/>
        <v>2028</v>
      </c>
      <c r="O372" s="8">
        <f t="shared" si="151"/>
        <v>0</v>
      </c>
      <c r="P372" s="9">
        <f t="shared" si="152"/>
        <v>0</v>
      </c>
      <c r="Q372" s="5">
        <f t="shared" si="153"/>
        <v>0</v>
      </c>
      <c r="R372" s="5">
        <f t="shared" si="154"/>
        <v>0</v>
      </c>
      <c r="S372" s="8">
        <f t="shared" si="155"/>
        <v>4.9534172178957112</v>
      </c>
      <c r="T372" s="7">
        <f t="shared" si="156"/>
        <v>5.4462027005982835E-2</v>
      </c>
    </row>
    <row r="373" spans="1:20" x14ac:dyDescent="0.25">
      <c r="A373" t="str">
        <f t="shared" si="146"/>
        <v>44104Derivativos</v>
      </c>
      <c r="B373" t="str">
        <f t="shared" si="147"/>
        <v>44104Minerva</v>
      </c>
      <c r="C373" s="4">
        <v>44104</v>
      </c>
      <c r="D373" t="s">
        <v>20</v>
      </c>
      <c r="E373" t="s">
        <v>28</v>
      </c>
      <c r="F373" t="s">
        <v>40</v>
      </c>
      <c r="G373" t="s">
        <v>34</v>
      </c>
      <c r="H373" s="5">
        <v>-384951</v>
      </c>
      <c r="I373" s="4">
        <v>47270</v>
      </c>
      <c r="J373" t="s">
        <v>30</v>
      </c>
      <c r="K373" s="10">
        <v>6.5000000000000002E-2</v>
      </c>
      <c r="L373" s="10">
        <f t="shared" si="149"/>
        <v>6.5000000000000002E-2</v>
      </c>
      <c r="M373" s="8">
        <f t="shared" si="145"/>
        <v>8.6739726027397257</v>
      </c>
      <c r="N373">
        <f t="shared" si="150"/>
        <v>2029</v>
      </c>
      <c r="O373" s="8">
        <f t="shared" si="151"/>
        <v>-3339054.42739726</v>
      </c>
      <c r="P373" s="9">
        <f t="shared" si="152"/>
        <v>-25021.815000000002</v>
      </c>
      <c r="Q373" s="5">
        <f t="shared" si="153"/>
        <v>-25021.815000000002</v>
      </c>
      <c r="R373" s="5">
        <f t="shared" si="154"/>
        <v>-6255.4537500000006</v>
      </c>
      <c r="S373" s="8">
        <f t="shared" si="155"/>
        <v>4.9534172178957112</v>
      </c>
      <c r="T373" s="7">
        <f t="shared" si="156"/>
        <v>5.4462027005982835E-2</v>
      </c>
    </row>
    <row r="374" spans="1:20" hidden="1" x14ac:dyDescent="0.25">
      <c r="A374" t="str">
        <f t="shared" si="146"/>
        <v>44104KG</v>
      </c>
      <c r="B374" t="str">
        <f t="shared" si="147"/>
        <v>44104BRF</v>
      </c>
      <c r="C374" s="4">
        <v>44104</v>
      </c>
      <c r="D374" t="s">
        <v>45</v>
      </c>
      <c r="E374" t="s">
        <v>46</v>
      </c>
      <c r="F374" t="s">
        <v>46</v>
      </c>
      <c r="G374" t="s">
        <v>23</v>
      </c>
      <c r="H374" s="5">
        <v>2471359</v>
      </c>
      <c r="I374" s="4">
        <f t="shared" ref="I374:I384" si="157">C374+M374*365</f>
        <v>44396</v>
      </c>
      <c r="J374" t="s">
        <v>47</v>
      </c>
      <c r="K374" s="12"/>
      <c r="L374" s="7">
        <v>2.7799999999999998E-2</v>
      </c>
      <c r="M374" s="8">
        <v>0.8</v>
      </c>
      <c r="N374">
        <f t="shared" si="150"/>
        <v>2021</v>
      </c>
      <c r="O374" s="8">
        <f t="shared" si="151"/>
        <v>1977087.2000000002</v>
      </c>
      <c r="P374" s="9">
        <f t="shared" si="152"/>
        <v>68703.780199999994</v>
      </c>
      <c r="Q374" s="5">
        <f t="shared" si="153"/>
        <v>68703.780199999994</v>
      </c>
      <c r="R374" s="5">
        <f t="shared" si="154"/>
        <v>17175.945049999998</v>
      </c>
      <c r="S374" s="8">
        <f t="shared" si="155"/>
        <v>7.7063982146215855</v>
      </c>
      <c r="T374" s="7">
        <f t="shared" si="156"/>
        <v>4.8329818325053384E-2</v>
      </c>
    </row>
    <row r="375" spans="1:20" hidden="1" x14ac:dyDescent="0.25">
      <c r="A375" t="str">
        <f t="shared" si="146"/>
        <v>44104CRA</v>
      </c>
      <c r="B375" t="str">
        <f t="shared" si="147"/>
        <v>44104BRF</v>
      </c>
      <c r="C375" s="4">
        <v>44104</v>
      </c>
      <c r="D375" t="s">
        <v>45</v>
      </c>
      <c r="E375" t="s">
        <v>48</v>
      </c>
      <c r="F375" t="s">
        <v>48</v>
      </c>
      <c r="G375" t="s">
        <v>23</v>
      </c>
      <c r="H375" s="5">
        <v>1640890</v>
      </c>
      <c r="I375" s="4">
        <f t="shared" si="157"/>
        <v>44761</v>
      </c>
      <c r="J375" t="s">
        <v>49</v>
      </c>
      <c r="K375" s="10"/>
      <c r="L375" s="7">
        <v>5.67E-2</v>
      </c>
      <c r="M375" s="8">
        <v>1.8</v>
      </c>
      <c r="N375">
        <f t="shared" si="150"/>
        <v>2022</v>
      </c>
      <c r="O375" s="8">
        <f t="shared" si="151"/>
        <v>2953602</v>
      </c>
      <c r="P375" s="9">
        <f t="shared" si="152"/>
        <v>93038.463000000003</v>
      </c>
      <c r="Q375" s="5">
        <f t="shared" si="153"/>
        <v>93038.463000000003</v>
      </c>
      <c r="R375" s="5">
        <f t="shared" si="154"/>
        <v>23259.615750000001</v>
      </c>
      <c r="S375" s="8">
        <f t="shared" si="155"/>
        <v>7.7063982146215855</v>
      </c>
      <c r="T375" s="7">
        <f t="shared" si="156"/>
        <v>4.8329818325053384E-2</v>
      </c>
    </row>
    <row r="376" spans="1:20" hidden="1" x14ac:dyDescent="0.25">
      <c r="A376" t="str">
        <f t="shared" si="146"/>
        <v>44104Fomento</v>
      </c>
      <c r="B376" t="str">
        <f t="shared" si="147"/>
        <v>44104BRF</v>
      </c>
      <c r="C376" s="4">
        <v>44104</v>
      </c>
      <c r="D376" t="s">
        <v>45</v>
      </c>
      <c r="E376" t="s">
        <v>28</v>
      </c>
      <c r="F376" t="s">
        <v>50</v>
      </c>
      <c r="G376" t="s">
        <v>23</v>
      </c>
      <c r="H376" s="5">
        <v>0</v>
      </c>
      <c r="I376" s="4">
        <f t="shared" si="157"/>
        <v>44104</v>
      </c>
      <c r="J376" t="s">
        <v>51</v>
      </c>
      <c r="K376" s="10"/>
      <c r="L376" s="10">
        <v>0</v>
      </c>
      <c r="M376" s="8">
        <v>0</v>
      </c>
      <c r="N376">
        <f t="shared" si="150"/>
        <v>2020</v>
      </c>
      <c r="O376" s="8">
        <f t="shared" si="151"/>
        <v>0</v>
      </c>
      <c r="P376" s="9">
        <f t="shared" si="152"/>
        <v>0</v>
      </c>
      <c r="Q376" s="5">
        <f t="shared" si="153"/>
        <v>0</v>
      </c>
      <c r="R376" s="5">
        <f t="shared" si="154"/>
        <v>0</v>
      </c>
      <c r="S376" s="8">
        <f t="shared" si="155"/>
        <v>7.7063982146215855</v>
      </c>
      <c r="T376" s="7">
        <f t="shared" si="156"/>
        <v>4.8329818325053384E-2</v>
      </c>
    </row>
    <row r="377" spans="1:20" hidden="1" x14ac:dyDescent="0.25">
      <c r="A377" t="str">
        <f t="shared" si="146"/>
        <v>44104Debentures</v>
      </c>
      <c r="B377" t="str">
        <f t="shared" si="147"/>
        <v>44104BRF</v>
      </c>
      <c r="C377" s="4">
        <v>44104</v>
      </c>
      <c r="D377" t="s">
        <v>45</v>
      </c>
      <c r="E377" t="s">
        <v>52</v>
      </c>
      <c r="F377" t="s">
        <v>52</v>
      </c>
      <c r="G377" t="s">
        <v>23</v>
      </c>
      <c r="H377" s="5">
        <v>2933697</v>
      </c>
      <c r="I377" s="4">
        <f t="shared" si="157"/>
        <v>46987.5</v>
      </c>
      <c r="J377" t="s">
        <v>49</v>
      </c>
      <c r="K377" s="10"/>
      <c r="L377" s="7">
        <v>7.2800000000000004E-2</v>
      </c>
      <c r="M377" s="8">
        <v>7.9</v>
      </c>
      <c r="N377">
        <f t="shared" si="150"/>
        <v>2028</v>
      </c>
      <c r="O377" s="8">
        <f t="shared" si="151"/>
        <v>23176206.300000001</v>
      </c>
      <c r="P377" s="9">
        <f t="shared" si="152"/>
        <v>213573.1416</v>
      </c>
      <c r="Q377" s="5">
        <f t="shared" si="153"/>
        <v>213573.1416</v>
      </c>
      <c r="R377" s="5">
        <f t="shared" si="154"/>
        <v>53393.285400000001</v>
      </c>
      <c r="S377" s="8">
        <f t="shared" si="155"/>
        <v>7.7063982146215855</v>
      </c>
      <c r="T377" s="7">
        <f t="shared" si="156"/>
        <v>4.8329818325053384E-2</v>
      </c>
    </row>
    <row r="378" spans="1:20" hidden="1" x14ac:dyDescent="0.25">
      <c r="A378" t="str">
        <f t="shared" si="146"/>
        <v>44104NCE</v>
      </c>
      <c r="B378" t="str">
        <f t="shared" si="147"/>
        <v>44104BRF</v>
      </c>
      <c r="C378" s="4">
        <v>44104</v>
      </c>
      <c r="D378" t="s">
        <v>45</v>
      </c>
      <c r="E378" t="s">
        <v>28</v>
      </c>
      <c r="F378" t="s">
        <v>31</v>
      </c>
      <c r="G378" t="s">
        <v>23</v>
      </c>
      <c r="H378" s="5">
        <v>3222873</v>
      </c>
      <c r="I378" s="4">
        <f t="shared" si="157"/>
        <v>46257.5</v>
      </c>
      <c r="J378" t="s">
        <v>82</v>
      </c>
      <c r="K378" s="10"/>
      <c r="L378" s="7">
        <v>3.9300000000000002E-2</v>
      </c>
      <c r="M378" s="8">
        <v>5.9</v>
      </c>
      <c r="N378">
        <f t="shared" si="150"/>
        <v>2026</v>
      </c>
      <c r="O378" s="8">
        <f t="shared" si="151"/>
        <v>19014950.700000003</v>
      </c>
      <c r="P378" s="9">
        <f t="shared" si="152"/>
        <v>126658.90890000001</v>
      </c>
      <c r="Q378" s="5">
        <f t="shared" si="153"/>
        <v>126658.90890000001</v>
      </c>
      <c r="R378" s="5">
        <f t="shared" si="154"/>
        <v>31664.727225000002</v>
      </c>
      <c r="S378" s="8">
        <f t="shared" si="155"/>
        <v>7.7063982146215855</v>
      </c>
      <c r="T378" s="7">
        <f t="shared" si="156"/>
        <v>4.8329818325053384E-2</v>
      </c>
    </row>
    <row r="379" spans="1:20" hidden="1" x14ac:dyDescent="0.25">
      <c r="A379" t="str">
        <f t="shared" si="146"/>
        <v>44104Incentivos Fiscais</v>
      </c>
      <c r="B379" t="str">
        <f t="shared" si="147"/>
        <v>44104BRF</v>
      </c>
      <c r="C379" s="4">
        <v>44104</v>
      </c>
      <c r="D379" t="s">
        <v>45</v>
      </c>
      <c r="E379" t="s">
        <v>28</v>
      </c>
      <c r="F379" t="s">
        <v>53</v>
      </c>
      <c r="G379" t="s">
        <v>23</v>
      </c>
      <c r="H379" s="5">
        <v>24311</v>
      </c>
      <c r="I379" s="4">
        <f t="shared" si="157"/>
        <v>44104</v>
      </c>
      <c r="J379" t="s">
        <v>54</v>
      </c>
      <c r="K379" s="10"/>
      <c r="L379" s="7">
        <v>2.4E-2</v>
      </c>
      <c r="M379" s="8">
        <v>0</v>
      </c>
      <c r="N379">
        <f t="shared" si="150"/>
        <v>2020</v>
      </c>
      <c r="O379" s="8">
        <f t="shared" si="151"/>
        <v>0</v>
      </c>
      <c r="P379" s="9">
        <f t="shared" si="152"/>
        <v>583.46400000000006</v>
      </c>
      <c r="Q379" s="5">
        <f t="shared" si="153"/>
        <v>583.46400000000006</v>
      </c>
      <c r="R379" s="5">
        <f t="shared" si="154"/>
        <v>145.86600000000001</v>
      </c>
      <c r="S379" s="8">
        <f t="shared" si="155"/>
        <v>7.7063982146215855</v>
      </c>
      <c r="T379" s="7">
        <f t="shared" si="156"/>
        <v>4.8329818325053384E-2</v>
      </c>
    </row>
    <row r="380" spans="1:20" hidden="1" x14ac:dyDescent="0.25">
      <c r="A380" t="str">
        <f t="shared" si="146"/>
        <v>44104Bond</v>
      </c>
      <c r="B380" t="str">
        <f t="shared" si="147"/>
        <v>44104BRF</v>
      </c>
      <c r="C380" s="4">
        <v>44104</v>
      </c>
      <c r="D380" t="s">
        <v>45</v>
      </c>
      <c r="E380" t="s">
        <v>35</v>
      </c>
      <c r="F380" t="s">
        <v>35</v>
      </c>
      <c r="G380" t="s">
        <v>34</v>
      </c>
      <c r="H380" s="5">
        <v>14281268</v>
      </c>
      <c r="I380" s="4">
        <f t="shared" si="157"/>
        <v>47973</v>
      </c>
      <c r="J380" t="s">
        <v>54</v>
      </c>
      <c r="K380" s="10"/>
      <c r="L380" s="7">
        <v>4.7100000000000003E-2</v>
      </c>
      <c r="M380" s="8">
        <v>10.6</v>
      </c>
      <c r="N380">
        <f t="shared" si="150"/>
        <v>2031</v>
      </c>
      <c r="O380" s="8">
        <f t="shared" si="151"/>
        <v>151381440.79999998</v>
      </c>
      <c r="P380" s="9">
        <f t="shared" si="152"/>
        <v>672647.72279999999</v>
      </c>
      <c r="Q380" s="5">
        <f t="shared" si="153"/>
        <v>672647.72279999999</v>
      </c>
      <c r="R380" s="5">
        <f t="shared" si="154"/>
        <v>168161.9307</v>
      </c>
      <c r="S380" s="8">
        <f t="shared" si="155"/>
        <v>7.7063982146215855</v>
      </c>
      <c r="T380" s="7">
        <f t="shared" si="156"/>
        <v>4.8329818325053384E-2</v>
      </c>
    </row>
    <row r="381" spans="1:20" hidden="1" x14ac:dyDescent="0.25">
      <c r="A381" t="str">
        <f t="shared" si="146"/>
        <v>44104PPE</v>
      </c>
      <c r="B381" t="str">
        <f t="shared" si="147"/>
        <v>44104BRF</v>
      </c>
      <c r="C381" s="4">
        <v>44104</v>
      </c>
      <c r="D381" t="s">
        <v>45</v>
      </c>
      <c r="E381" t="s">
        <v>28</v>
      </c>
      <c r="F381" t="s">
        <v>36</v>
      </c>
      <c r="G381" t="s">
        <v>34</v>
      </c>
      <c r="H381" s="5">
        <v>431246</v>
      </c>
      <c r="I381" s="4">
        <f t="shared" si="157"/>
        <v>45016.5</v>
      </c>
      <c r="J381" t="s">
        <v>55</v>
      </c>
      <c r="K381" s="10"/>
      <c r="L381" s="7">
        <v>4.1300000000000003E-2</v>
      </c>
      <c r="M381" s="8">
        <v>2.5</v>
      </c>
      <c r="N381">
        <f t="shared" si="150"/>
        <v>2023</v>
      </c>
      <c r="O381" s="8">
        <f t="shared" si="151"/>
        <v>1078115</v>
      </c>
      <c r="P381" s="9">
        <f t="shared" si="152"/>
        <v>17810.459800000001</v>
      </c>
      <c r="Q381" s="5">
        <f t="shared" si="153"/>
        <v>17810.459800000001</v>
      </c>
      <c r="R381" s="5">
        <f t="shared" si="154"/>
        <v>4452.6149500000001</v>
      </c>
      <c r="S381" s="8">
        <f t="shared" si="155"/>
        <v>7.7063982146215855</v>
      </c>
      <c r="T381" s="7">
        <f t="shared" si="156"/>
        <v>4.8329818325053384E-2</v>
      </c>
    </row>
    <row r="382" spans="1:20" hidden="1" x14ac:dyDescent="0.25">
      <c r="A382" t="str">
        <f t="shared" si="146"/>
        <v>44104ACC</v>
      </c>
      <c r="B382" t="str">
        <f t="shared" si="147"/>
        <v>44104BRF</v>
      </c>
      <c r="C382" s="4">
        <v>44104</v>
      </c>
      <c r="D382" t="s">
        <v>45</v>
      </c>
      <c r="E382" t="s">
        <v>28</v>
      </c>
      <c r="F382" t="s">
        <v>33</v>
      </c>
      <c r="G382" t="s">
        <v>34</v>
      </c>
      <c r="H382" s="5">
        <v>573502</v>
      </c>
      <c r="I382" s="4">
        <f t="shared" si="157"/>
        <v>44286.5</v>
      </c>
      <c r="J382" t="s">
        <v>55</v>
      </c>
      <c r="K382" s="10"/>
      <c r="L382" s="7">
        <v>3.8800000000000001E-2</v>
      </c>
      <c r="M382" s="8">
        <v>0.5</v>
      </c>
      <c r="N382">
        <f t="shared" si="150"/>
        <v>2021</v>
      </c>
      <c r="O382" s="8">
        <f t="shared" si="151"/>
        <v>286751</v>
      </c>
      <c r="P382" s="9">
        <f t="shared" si="152"/>
        <v>22251.8776</v>
      </c>
      <c r="Q382" s="5">
        <f t="shared" si="153"/>
        <v>22251.8776</v>
      </c>
      <c r="R382" s="5">
        <f t="shared" si="154"/>
        <v>5562.9694</v>
      </c>
      <c r="S382" s="8">
        <f t="shared" si="155"/>
        <v>7.7063982146215855</v>
      </c>
      <c r="T382" s="7">
        <f t="shared" si="156"/>
        <v>4.8329818325053384E-2</v>
      </c>
    </row>
    <row r="383" spans="1:20" hidden="1" x14ac:dyDescent="0.25">
      <c r="A383" t="str">
        <f t="shared" si="146"/>
        <v>44104KG</v>
      </c>
      <c r="B383" t="str">
        <f t="shared" si="147"/>
        <v>44104BRF</v>
      </c>
      <c r="C383" s="4">
        <v>44104</v>
      </c>
      <c r="D383" t="s">
        <v>45</v>
      </c>
      <c r="E383" t="s">
        <v>28</v>
      </c>
      <c r="F383" t="s">
        <v>46</v>
      </c>
      <c r="G383" t="s">
        <v>56</v>
      </c>
      <c r="H383" s="5">
        <v>435283</v>
      </c>
      <c r="I383" s="4">
        <f t="shared" si="157"/>
        <v>44615</v>
      </c>
      <c r="J383" t="s">
        <v>54</v>
      </c>
      <c r="K383" s="10"/>
      <c r="L383" s="7">
        <v>9.6500000000000002E-2</v>
      </c>
      <c r="M383" s="8">
        <v>1.4</v>
      </c>
      <c r="N383">
        <f t="shared" si="150"/>
        <v>2022</v>
      </c>
      <c r="O383" s="8">
        <f t="shared" si="151"/>
        <v>609396.19999999995</v>
      </c>
      <c r="P383" s="9">
        <f t="shared" si="152"/>
        <v>42004.809500000003</v>
      </c>
      <c r="Q383" s="5">
        <f t="shared" si="153"/>
        <v>42004.809500000003</v>
      </c>
      <c r="R383" s="5">
        <f t="shared" si="154"/>
        <v>10501.202375000001</v>
      </c>
      <c r="S383" s="8">
        <f t="shared" si="155"/>
        <v>7.7063982146215855</v>
      </c>
      <c r="T383" s="7">
        <f t="shared" si="156"/>
        <v>4.8329818325053384E-2</v>
      </c>
    </row>
    <row r="384" spans="1:20" hidden="1" x14ac:dyDescent="0.25">
      <c r="A384" t="str">
        <f t="shared" si="146"/>
        <v>44104Derivativo</v>
      </c>
      <c r="B384" t="str">
        <f t="shared" si="147"/>
        <v>44104BRF</v>
      </c>
      <c r="C384" s="4">
        <v>44104</v>
      </c>
      <c r="D384" t="s">
        <v>45</v>
      </c>
      <c r="E384" t="s">
        <v>28</v>
      </c>
      <c r="F384" t="s">
        <v>57</v>
      </c>
      <c r="G384" t="s">
        <v>23</v>
      </c>
      <c r="I384" s="4">
        <f t="shared" si="157"/>
        <v>44104</v>
      </c>
      <c r="N384">
        <f t="shared" si="150"/>
        <v>2020</v>
      </c>
      <c r="O384" s="8">
        <f t="shared" si="151"/>
        <v>0</v>
      </c>
      <c r="P384" s="9">
        <f t="shared" si="152"/>
        <v>0</v>
      </c>
      <c r="Q384" s="5">
        <f t="shared" si="153"/>
        <v>0</v>
      </c>
      <c r="R384" s="5">
        <f t="shared" si="154"/>
        <v>0</v>
      </c>
      <c r="S384" s="8">
        <f t="shared" si="155"/>
        <v>7.7063982146215855</v>
      </c>
      <c r="T384" s="14">
        <f t="shared" si="156"/>
        <v>4.8329818325053384E-2</v>
      </c>
    </row>
    <row r="385" spans="1:20" hidden="1" x14ac:dyDescent="0.25"/>
    <row r="386" spans="1:20" hidden="1" x14ac:dyDescent="0.25"/>
    <row r="388" spans="1:20" s="30" customFormat="1" x14ac:dyDescent="0.25">
      <c r="A388" s="30" t="s">
        <v>86</v>
      </c>
      <c r="B388" s="30" t="s">
        <v>83</v>
      </c>
      <c r="C388" s="31">
        <v>44286</v>
      </c>
      <c r="D388" s="30" t="s">
        <v>20</v>
      </c>
      <c r="E388" s="30" t="s">
        <v>21</v>
      </c>
      <c r="F388" s="30" t="s">
        <v>76</v>
      </c>
      <c r="G388" s="30" t="s">
        <v>23</v>
      </c>
      <c r="H388" s="35">
        <v>403319</v>
      </c>
      <c r="I388" s="31">
        <v>44696</v>
      </c>
      <c r="J388" s="30" t="s">
        <v>24</v>
      </c>
      <c r="K388" s="32">
        <v>1.7999999999999999E-2</v>
      </c>
      <c r="L388" s="32"/>
      <c r="M388" s="36">
        <f>(I388-C388)/365</f>
        <v>1.1232876712328768</v>
      </c>
      <c r="N388" s="30">
        <v>2022</v>
      </c>
      <c r="O388" s="8">
        <f>M388*H388</f>
        <v>453043.26027397264</v>
      </c>
      <c r="S388" s="8">
        <f>SUMIFS($O:$O,$C:$C,$C388,$D:$D,D388)/SUMIFS($H:$H,$C:$C,$C388,$D:$D,D388)</f>
        <v>2.9131128865816498</v>
      </c>
      <c r="T388" s="7">
        <f>SUMIFS($P:$P,$C:$C,$C388,$D:$D,D388)/SUMIFS($H:$H,$C:$C,$C388,$D:$D,D388)</f>
        <v>0</v>
      </c>
    </row>
    <row r="389" spans="1:20" s="30" customFormat="1" x14ac:dyDescent="0.25">
      <c r="A389" s="30" t="s">
        <v>87</v>
      </c>
      <c r="B389" s="30" t="s">
        <v>83</v>
      </c>
      <c r="C389" s="31">
        <v>44286</v>
      </c>
      <c r="D389" s="30" t="s">
        <v>20</v>
      </c>
      <c r="E389" s="30" t="s">
        <v>21</v>
      </c>
      <c r="F389" s="30" t="s">
        <v>77</v>
      </c>
      <c r="G389" s="30" t="s">
        <v>23</v>
      </c>
      <c r="H389" s="35">
        <v>533965</v>
      </c>
      <c r="I389" s="31">
        <v>45427</v>
      </c>
      <c r="J389" s="30" t="s">
        <v>27</v>
      </c>
      <c r="K389" s="32">
        <v>4.4999999999999998E-2</v>
      </c>
      <c r="L389" s="32"/>
      <c r="M389" s="36">
        <f>(I389-C389)/365</f>
        <v>3.1260273972602741</v>
      </c>
      <c r="N389" s="30">
        <v>2024</v>
      </c>
      <c r="O389" s="8">
        <f>M389*H389</f>
        <v>1669189.2191780822</v>
      </c>
      <c r="S389" s="8">
        <f>SUMIFS($O:$O,$C:$C,$C389,$D:$D,D389)/SUMIFS($H:$H,$C:$C,$C389,$D:$D,D389)</f>
        <v>2.9131128865816498</v>
      </c>
      <c r="T389" s="7">
        <f>SUMIFS($P:$P,$C:$C,$C389,$D:$D,D389)/SUMIFS($H:$H,$C:$C,$C389,$D:$D,D389)</f>
        <v>0</v>
      </c>
    </row>
    <row r="390" spans="1:20" s="30" customFormat="1" x14ac:dyDescent="0.25">
      <c r="C390" s="31">
        <v>44286</v>
      </c>
      <c r="D390" s="30" t="s">
        <v>20</v>
      </c>
      <c r="E390" s="30" t="s">
        <v>21</v>
      </c>
      <c r="F390" s="30" t="s">
        <v>129</v>
      </c>
      <c r="G390" s="30" t="s">
        <v>23</v>
      </c>
      <c r="H390" s="5">
        <v>409934</v>
      </c>
      <c r="I390" s="31">
        <v>45790</v>
      </c>
      <c r="J390" s="30" t="s">
        <v>79</v>
      </c>
      <c r="K390" s="32">
        <v>1.6</v>
      </c>
      <c r="L390" s="7"/>
      <c r="M390" s="36">
        <f>(I390-C390)/365</f>
        <v>4.1205479452054794</v>
      </c>
      <c r="N390" s="30">
        <v>2025</v>
      </c>
      <c r="O390" s="8">
        <f>M390*H390</f>
        <v>1689152.701369863</v>
      </c>
      <c r="S390" s="8">
        <f>SUMIFS($O:$O,$C:$C,$C390,$D:$D,D390)/SUMIFS($H:$H,$C:$C,$C390,$D:$D,D390)</f>
        <v>2.9131128865816498</v>
      </c>
      <c r="T390" s="7">
        <f>SUMIFS($P:$P,$C:$C,$C390,$D:$D,D390)/SUMIFS($H:$H,$C:$C,$C390,$D:$D,D390)</f>
        <v>0</v>
      </c>
    </row>
    <row r="391" spans="1:20" s="30" customFormat="1" x14ac:dyDescent="0.25">
      <c r="C391" s="31">
        <v>44286</v>
      </c>
      <c r="D391" s="30" t="s">
        <v>20</v>
      </c>
      <c r="E391" s="30" t="s">
        <v>21</v>
      </c>
      <c r="F391" s="30" t="s">
        <v>130</v>
      </c>
      <c r="G391" s="30" t="s">
        <v>23</v>
      </c>
      <c r="H391" s="5">
        <v>204967</v>
      </c>
      <c r="I391" s="31">
        <v>46155</v>
      </c>
      <c r="J391" s="30" t="s">
        <v>79</v>
      </c>
      <c r="K391" s="32">
        <v>1.6</v>
      </c>
      <c r="L391" s="7"/>
      <c r="M391" s="36">
        <f t="shared" ref="M391:M394" si="158">(I391-C391)/365</f>
        <v>5.1205479452054794</v>
      </c>
      <c r="N391" s="30">
        <v>2026</v>
      </c>
      <c r="O391" s="8">
        <f t="shared" ref="O391:O392" si="159">M391*H391</f>
        <v>1049543.3506849315</v>
      </c>
      <c r="S391" s="8">
        <f>SUMIFS($O:$O,$C:$C,$C391,$D:$D,D391)/SUMIFS($H:$H,$C:$C,$C391,$D:$D,D391)</f>
        <v>2.9131128865816498</v>
      </c>
      <c r="T391" s="7">
        <f>SUMIFS($P:$P,$C:$C,$C391,$D:$D,D391)/SUMIFS($H:$H,$C:$C,$C391,$D:$D,D391)</f>
        <v>0</v>
      </c>
    </row>
    <row r="392" spans="1:20" s="30" customFormat="1" ht="17.25" customHeight="1" x14ac:dyDescent="0.25">
      <c r="C392" s="31">
        <v>44286</v>
      </c>
      <c r="D392" s="30" t="s">
        <v>20</v>
      </c>
      <c r="E392" s="30" t="s">
        <v>21</v>
      </c>
      <c r="F392" s="30" t="s">
        <v>81</v>
      </c>
      <c r="G392" s="30" t="s">
        <v>23</v>
      </c>
      <c r="H392" s="35">
        <v>598508</v>
      </c>
      <c r="I392" s="31">
        <v>45820</v>
      </c>
      <c r="J392" s="30" t="s">
        <v>79</v>
      </c>
      <c r="K392" s="32">
        <v>1.6</v>
      </c>
      <c r="L392" s="7"/>
      <c r="M392" s="36">
        <f t="shared" si="158"/>
        <v>4.2027397260273975</v>
      </c>
      <c r="N392" s="30">
        <v>2025</v>
      </c>
      <c r="O392" s="8">
        <f t="shared" si="159"/>
        <v>2515373.3479452059</v>
      </c>
      <c r="S392" s="8">
        <f>SUMIFS($O:$O,$C:$C,$C392,$D:$D,D392)/SUMIFS($H:$H,$C:$C,$C392,$D:$D,D392)</f>
        <v>2.9131128865816498</v>
      </c>
      <c r="T392" s="7">
        <f>SUMIFS($P:$P,$C:$C,$C392,$D:$D,D392)/SUMIFS($H:$H,$C:$C,$C392,$D:$D,D392)</f>
        <v>0</v>
      </c>
    </row>
    <row r="393" spans="1:20" x14ac:dyDescent="0.25">
      <c r="A393" t="s">
        <v>88</v>
      </c>
      <c r="B393" t="s">
        <v>83</v>
      </c>
      <c r="C393" s="4">
        <v>44286</v>
      </c>
      <c r="D393" t="s">
        <v>20</v>
      </c>
      <c r="E393" t="s">
        <v>28</v>
      </c>
      <c r="F393" t="s">
        <v>29</v>
      </c>
      <c r="G393" t="s">
        <v>23</v>
      </c>
      <c r="H393" s="13">
        <v>73295</v>
      </c>
      <c r="I393" s="4">
        <v>44713</v>
      </c>
      <c r="J393" t="s">
        <v>30</v>
      </c>
      <c r="K393" s="10">
        <v>8.3500000000000005E-2</v>
      </c>
      <c r="L393" s="10"/>
      <c r="M393" s="36">
        <f t="shared" si="158"/>
        <v>1.1698630136986301</v>
      </c>
      <c r="N393" s="30">
        <v>2022</v>
      </c>
      <c r="S393" s="8">
        <f>SUMIFS($O:$O,$C:$C,$C393,$D:$D,D393)/SUMIFS($H:$H,$C:$C,$C393,$D:$D,D393)</f>
        <v>2.9131128865816498</v>
      </c>
      <c r="T393" s="14">
        <f>SUMIFS($P:$P,$C:$C,$C393,$D:$D,D393)/SUMIFS($H:$H,$C:$C,$C393,$D:$D,D393)</f>
        <v>0</v>
      </c>
    </row>
    <row r="394" spans="1:20" x14ac:dyDescent="0.25">
      <c r="A394" t="s">
        <v>89</v>
      </c>
      <c r="B394" t="s">
        <v>83</v>
      </c>
      <c r="C394" s="4">
        <v>44286</v>
      </c>
      <c r="D394" t="s">
        <v>20</v>
      </c>
      <c r="E394" t="s">
        <v>28</v>
      </c>
      <c r="F394" t="s">
        <v>29</v>
      </c>
      <c r="G394" t="s">
        <v>23</v>
      </c>
      <c r="H394" s="13">
        <v>308115</v>
      </c>
      <c r="I394" s="4">
        <v>44713</v>
      </c>
      <c r="J394" t="s">
        <v>24</v>
      </c>
      <c r="K394" s="10">
        <v>8.3500000000000005E-2</v>
      </c>
      <c r="L394" s="10">
        <v>8.3500000000000005E-2</v>
      </c>
      <c r="M394" s="36">
        <f>(I394-C394)/365</f>
        <v>1.1698630136986301</v>
      </c>
      <c r="N394" s="30">
        <v>2022</v>
      </c>
      <c r="S394" s="8">
        <f>SUMIFS($O:$O,$C:$C,$C394,$D:$D,D394)/SUMIFS($H:$H,$C:$C,$C394,$D:$D,D394)</f>
        <v>2.9131128865816498</v>
      </c>
      <c r="T394" s="14">
        <f>SUMIFS($P:$P,$C:$C,$C394,$D:$D,D394)/SUMIFS($H:$H,$C:$C,$C394,$D:$D,D394)</f>
        <v>0</v>
      </c>
    </row>
    <row r="395" spans="1:20" x14ac:dyDescent="0.25">
      <c r="A395" t="s">
        <v>89</v>
      </c>
      <c r="B395" t="s">
        <v>83</v>
      </c>
      <c r="C395" s="4">
        <v>44286</v>
      </c>
      <c r="D395" t="s">
        <v>20</v>
      </c>
      <c r="E395" t="s">
        <v>31</v>
      </c>
      <c r="F395" t="s">
        <v>31</v>
      </c>
      <c r="G395" t="s">
        <v>23</v>
      </c>
      <c r="H395" s="35" t="s">
        <v>131</v>
      </c>
      <c r="I395" s="4">
        <v>44348</v>
      </c>
      <c r="J395" t="s">
        <v>24</v>
      </c>
      <c r="K395" s="10">
        <v>0.03</v>
      </c>
      <c r="L395" s="7">
        <v>0.09</v>
      </c>
      <c r="M395" s="36">
        <f>(I395-C395)/365</f>
        <v>0.16986301369863013</v>
      </c>
      <c r="N395" s="30">
        <v>2021</v>
      </c>
      <c r="S395" s="8">
        <f>SUMIFS($O:$O,$C:$C,$C395,$D:$D,D395)/SUMIFS($H:$H,$C:$C,$C395,$D:$D,D395)</f>
        <v>2.9131128865816498</v>
      </c>
      <c r="T395" s="14">
        <f>SUMIFS($P:$P,$C:$C,$C395,$D:$D,D395)/SUMIFS($H:$H,$C:$C,$C395,$D:$D,D395)</f>
        <v>0</v>
      </c>
    </row>
    <row r="396" spans="1:20" x14ac:dyDescent="0.25">
      <c r="A396" t="s">
        <v>90</v>
      </c>
      <c r="B396" t="s">
        <v>83</v>
      </c>
      <c r="C396" s="4">
        <v>44286</v>
      </c>
      <c r="D396" t="s">
        <v>20</v>
      </c>
      <c r="E396" t="s">
        <v>31</v>
      </c>
      <c r="F396" t="s">
        <v>31</v>
      </c>
      <c r="G396" t="s">
        <v>23</v>
      </c>
      <c r="H396" s="35" t="s">
        <v>132</v>
      </c>
      <c r="I396" s="4">
        <v>44713</v>
      </c>
      <c r="J396" t="s">
        <v>24</v>
      </c>
      <c r="K396" s="10">
        <v>0.03</v>
      </c>
      <c r="L396" s="7">
        <v>0.09</v>
      </c>
      <c r="M396" s="29"/>
      <c r="N396" s="30">
        <v>2022</v>
      </c>
      <c r="S396" s="8">
        <f>SUMIFS($O:$O,$C:$C,$C396,$D:$D,D396)/SUMIFS($H:$H,$C:$C,$C396,$D:$D,D396)</f>
        <v>2.9131128865816498</v>
      </c>
      <c r="T396" s="14">
        <f>SUMIFS($P:$P,$C:$C,$C396,$D:$D,D396)/SUMIFS($H:$H,$C:$C,$C396,$D:$D,D396)</f>
        <v>0</v>
      </c>
    </row>
    <row r="397" spans="1:20" x14ac:dyDescent="0.25">
      <c r="A397" t="s">
        <v>90</v>
      </c>
      <c r="B397" t="s">
        <v>83</v>
      </c>
      <c r="C397" s="4">
        <v>44286</v>
      </c>
      <c r="D397" t="s">
        <v>20</v>
      </c>
      <c r="E397" t="s">
        <v>28</v>
      </c>
      <c r="F397" t="s">
        <v>32</v>
      </c>
      <c r="G397" t="s">
        <v>23</v>
      </c>
      <c r="H397" s="5"/>
      <c r="I397" s="4">
        <v>44301</v>
      </c>
      <c r="J397" t="s">
        <v>24</v>
      </c>
      <c r="K397" s="10">
        <v>2.35E-2</v>
      </c>
      <c r="L397" s="7">
        <v>7.0000000000000007E-2</v>
      </c>
      <c r="M397" s="29"/>
    </row>
    <row r="398" spans="1:20" x14ac:dyDescent="0.25">
      <c r="A398" t="s">
        <v>91</v>
      </c>
      <c r="B398" t="s">
        <v>83</v>
      </c>
      <c r="C398" s="4">
        <v>44286</v>
      </c>
      <c r="D398" t="s">
        <v>20</v>
      </c>
      <c r="E398" t="s">
        <v>28</v>
      </c>
      <c r="F398" t="s">
        <v>32</v>
      </c>
      <c r="G398" t="s">
        <v>23</v>
      </c>
      <c r="H398" s="5"/>
      <c r="I398" s="4">
        <v>44666</v>
      </c>
      <c r="J398" t="s">
        <v>24</v>
      </c>
      <c r="K398" s="10">
        <v>2.35E-2</v>
      </c>
      <c r="L398" s="7">
        <v>7.0000000000000007E-2</v>
      </c>
      <c r="M398" s="29"/>
    </row>
    <row r="399" spans="1:20" x14ac:dyDescent="0.25">
      <c r="A399" t="s">
        <v>91</v>
      </c>
      <c r="B399" t="s">
        <v>83</v>
      </c>
      <c r="C399" s="4">
        <v>44286</v>
      </c>
      <c r="D399" t="s">
        <v>20</v>
      </c>
      <c r="E399" t="s">
        <v>28</v>
      </c>
      <c r="F399" t="s">
        <v>32</v>
      </c>
      <c r="G399" t="s">
        <v>23</v>
      </c>
      <c r="H399" s="35"/>
      <c r="I399" s="4">
        <v>45031</v>
      </c>
      <c r="J399" t="s">
        <v>24</v>
      </c>
      <c r="K399" s="10">
        <v>2.35E-2</v>
      </c>
      <c r="L399" s="7">
        <v>7.0000000000000007E-2</v>
      </c>
      <c r="M399" s="29"/>
    </row>
    <row r="400" spans="1:20" x14ac:dyDescent="0.25">
      <c r="A400" t="s">
        <v>91</v>
      </c>
      <c r="B400" t="s">
        <v>83</v>
      </c>
      <c r="C400" s="4">
        <v>44286</v>
      </c>
      <c r="D400" t="s">
        <v>20</v>
      </c>
      <c r="E400" t="s">
        <v>33</v>
      </c>
      <c r="F400" t="s">
        <v>33</v>
      </c>
      <c r="G400" t="s">
        <v>23</v>
      </c>
      <c r="I400" s="4">
        <v>44166</v>
      </c>
      <c r="J400" t="s">
        <v>30</v>
      </c>
      <c r="K400" s="10">
        <v>5.5E-2</v>
      </c>
      <c r="L400" s="10">
        <v>5.5E-2</v>
      </c>
      <c r="M400" s="29"/>
    </row>
    <row r="401" spans="1:13" x14ac:dyDescent="0.25">
      <c r="A401" t="s">
        <v>92</v>
      </c>
      <c r="B401" t="s">
        <v>83</v>
      </c>
      <c r="C401" s="4">
        <v>44286</v>
      </c>
      <c r="D401" t="s">
        <v>20</v>
      </c>
      <c r="E401" t="s">
        <v>35</v>
      </c>
      <c r="F401" t="s">
        <v>35</v>
      </c>
      <c r="G401" t="s">
        <v>34</v>
      </c>
      <c r="I401" s="4">
        <v>44002</v>
      </c>
      <c r="J401" t="s">
        <v>30</v>
      </c>
      <c r="K401" s="10">
        <v>6.5000000000000002E-2</v>
      </c>
      <c r="L401" s="10">
        <v>6.5000000000000002E-2</v>
      </c>
      <c r="M401" s="29"/>
    </row>
    <row r="402" spans="1:13" x14ac:dyDescent="0.25">
      <c r="A402" t="s">
        <v>93</v>
      </c>
      <c r="B402" t="s">
        <v>83</v>
      </c>
      <c r="C402" s="4">
        <v>44286</v>
      </c>
      <c r="D402" t="s">
        <v>20</v>
      </c>
      <c r="E402" t="s">
        <v>35</v>
      </c>
      <c r="F402" t="s">
        <v>35</v>
      </c>
      <c r="G402" t="s">
        <v>34</v>
      </c>
      <c r="I402" s="4">
        <v>46285</v>
      </c>
      <c r="J402" t="s">
        <v>30</v>
      </c>
      <c r="K402" s="10">
        <v>6.5000000000000002E-2</v>
      </c>
      <c r="L402" s="10">
        <v>6.5000000000000002E-2</v>
      </c>
      <c r="M402" s="29"/>
    </row>
    <row r="403" spans="1:13" x14ac:dyDescent="0.25">
      <c r="A403" t="s">
        <v>93</v>
      </c>
      <c r="B403" t="s">
        <v>83</v>
      </c>
      <c r="C403" s="4">
        <v>44286</v>
      </c>
      <c r="D403" t="s">
        <v>20</v>
      </c>
      <c r="E403" t="s">
        <v>35</v>
      </c>
      <c r="F403" t="s">
        <v>35</v>
      </c>
      <c r="G403" t="s">
        <v>34</v>
      </c>
      <c r="I403" s="4">
        <v>47016</v>
      </c>
      <c r="J403" t="s">
        <v>30</v>
      </c>
      <c r="K403" s="10">
        <v>5.8749999999999997E-2</v>
      </c>
      <c r="L403" s="10">
        <v>5.8749999999999997E-2</v>
      </c>
      <c r="M403" s="29"/>
    </row>
    <row r="404" spans="1:13" x14ac:dyDescent="0.25">
      <c r="A404" t="s">
        <v>93</v>
      </c>
      <c r="B404" t="s">
        <v>83</v>
      </c>
      <c r="C404" s="4">
        <v>44286</v>
      </c>
      <c r="D404" t="s">
        <v>20</v>
      </c>
      <c r="E404" t="s">
        <v>36</v>
      </c>
      <c r="F404" t="s">
        <v>36</v>
      </c>
      <c r="G404" t="s">
        <v>34</v>
      </c>
      <c r="I404" s="4">
        <v>44348</v>
      </c>
      <c r="J404" t="s">
        <v>37</v>
      </c>
      <c r="K404" s="12">
        <v>0.02</v>
      </c>
      <c r="L404" s="7">
        <v>0.04</v>
      </c>
      <c r="M404" s="29"/>
    </row>
    <row r="405" spans="1:13" x14ac:dyDescent="0.25">
      <c r="A405" t="s">
        <v>94</v>
      </c>
      <c r="B405" t="s">
        <v>83</v>
      </c>
      <c r="C405" s="4">
        <v>44286</v>
      </c>
      <c r="D405" t="s">
        <v>20</v>
      </c>
      <c r="E405" t="s">
        <v>36</v>
      </c>
      <c r="F405" t="s">
        <v>36</v>
      </c>
      <c r="G405" t="s">
        <v>34</v>
      </c>
      <c r="I405" s="4">
        <v>44713</v>
      </c>
      <c r="J405" t="s">
        <v>37</v>
      </c>
      <c r="K405" s="12">
        <v>0.02</v>
      </c>
      <c r="L405" s="7">
        <v>0.04</v>
      </c>
      <c r="M405" s="29"/>
    </row>
    <row r="406" spans="1:13" x14ac:dyDescent="0.25">
      <c r="A406" t="s">
        <v>94</v>
      </c>
      <c r="B406" t="s">
        <v>83</v>
      </c>
      <c r="C406" s="4">
        <v>44286</v>
      </c>
      <c r="D406" t="s">
        <v>20</v>
      </c>
      <c r="E406" t="s">
        <v>28</v>
      </c>
      <c r="F406" t="s">
        <v>38</v>
      </c>
      <c r="G406" t="s">
        <v>34</v>
      </c>
      <c r="I406" s="4">
        <v>43983</v>
      </c>
      <c r="J406" t="s">
        <v>30</v>
      </c>
      <c r="K406" s="10">
        <v>6.5000000000000002E-2</v>
      </c>
      <c r="L406" s="10">
        <v>6.5000000000000002E-2</v>
      </c>
      <c r="M406" s="29"/>
    </row>
    <row r="407" spans="1:13" x14ac:dyDescent="0.25">
      <c r="A407" t="s">
        <v>95</v>
      </c>
      <c r="B407" t="s">
        <v>83</v>
      </c>
      <c r="C407" s="4">
        <v>44286</v>
      </c>
      <c r="D407" t="s">
        <v>20</v>
      </c>
      <c r="E407" t="s">
        <v>28</v>
      </c>
      <c r="F407" t="s">
        <v>39</v>
      </c>
      <c r="G407" t="s">
        <v>34</v>
      </c>
      <c r="I407" s="4">
        <v>43983</v>
      </c>
      <c r="J407" t="s">
        <v>30</v>
      </c>
      <c r="K407" s="10">
        <v>6.5000000000000002E-2</v>
      </c>
      <c r="L407" s="10">
        <v>6.5000000000000002E-2</v>
      </c>
      <c r="M407" s="29"/>
    </row>
    <row r="408" spans="1:13" x14ac:dyDescent="0.25">
      <c r="A408" t="s">
        <v>96</v>
      </c>
      <c r="B408" t="s">
        <v>83</v>
      </c>
      <c r="C408" s="4">
        <v>44286</v>
      </c>
      <c r="D408" t="s">
        <v>20</v>
      </c>
      <c r="E408" t="s">
        <v>28</v>
      </c>
      <c r="F408" t="s">
        <v>39</v>
      </c>
      <c r="G408" t="s">
        <v>34</v>
      </c>
      <c r="I408" s="4">
        <v>44348</v>
      </c>
      <c r="J408" t="s">
        <v>30</v>
      </c>
      <c r="K408" s="10">
        <v>6.5000000000000002E-2</v>
      </c>
      <c r="L408" s="10">
        <v>6.5000000000000002E-2</v>
      </c>
      <c r="M408" s="29"/>
    </row>
    <row r="409" spans="1:13" x14ac:dyDescent="0.25">
      <c r="A409" t="s">
        <v>96</v>
      </c>
      <c r="B409" t="s">
        <v>83</v>
      </c>
      <c r="C409" s="4">
        <v>44286</v>
      </c>
      <c r="D409" t="s">
        <v>20</v>
      </c>
      <c r="E409" t="s">
        <v>28</v>
      </c>
      <c r="F409" t="s">
        <v>39</v>
      </c>
      <c r="G409" t="s">
        <v>34</v>
      </c>
      <c r="I409" s="4">
        <v>44713</v>
      </c>
      <c r="J409" t="s">
        <v>30</v>
      </c>
      <c r="K409" s="10">
        <v>6.5000000000000002E-2</v>
      </c>
      <c r="L409" s="10">
        <v>6.5000000000000002E-2</v>
      </c>
      <c r="M409" s="29"/>
    </row>
    <row r="410" spans="1:13" x14ac:dyDescent="0.25">
      <c r="A410" t="s">
        <v>96</v>
      </c>
      <c r="B410" t="s">
        <v>83</v>
      </c>
      <c r="C410" s="4">
        <v>44286</v>
      </c>
      <c r="D410" t="s">
        <v>20</v>
      </c>
      <c r="E410" t="s">
        <v>28</v>
      </c>
      <c r="F410" t="s">
        <v>39</v>
      </c>
      <c r="G410" t="s">
        <v>34</v>
      </c>
      <c r="I410" s="4">
        <v>45078</v>
      </c>
      <c r="J410" t="s">
        <v>30</v>
      </c>
      <c r="K410" s="10">
        <v>6.5000000000000002E-2</v>
      </c>
      <c r="L410" s="10">
        <v>6.5000000000000002E-2</v>
      </c>
      <c r="M410" s="29"/>
    </row>
    <row r="411" spans="1:13" x14ac:dyDescent="0.25">
      <c r="A411" t="s">
        <v>96</v>
      </c>
      <c r="B411" t="s">
        <v>83</v>
      </c>
      <c r="C411" s="4">
        <v>44286</v>
      </c>
      <c r="D411" t="s">
        <v>20</v>
      </c>
      <c r="E411" t="s">
        <v>28</v>
      </c>
      <c r="F411" t="s">
        <v>39</v>
      </c>
      <c r="G411" t="s">
        <v>34</v>
      </c>
      <c r="I411" s="4">
        <v>45444</v>
      </c>
      <c r="J411" t="s">
        <v>30</v>
      </c>
      <c r="K411" s="10">
        <v>6.5000000000000002E-2</v>
      </c>
      <c r="L411" s="10">
        <v>6.5000000000000002E-2</v>
      </c>
      <c r="M411" s="29"/>
    </row>
    <row r="412" spans="1:13" x14ac:dyDescent="0.25">
      <c r="A412" t="s">
        <v>96</v>
      </c>
      <c r="B412" t="s">
        <v>83</v>
      </c>
      <c r="C412" s="4">
        <v>44286</v>
      </c>
      <c r="D412" t="s">
        <v>20</v>
      </c>
      <c r="E412" t="s">
        <v>28</v>
      </c>
      <c r="F412" t="s">
        <v>39</v>
      </c>
      <c r="G412" t="s">
        <v>34</v>
      </c>
      <c r="I412" s="4">
        <v>45809</v>
      </c>
      <c r="J412" t="s">
        <v>30</v>
      </c>
      <c r="K412" s="10">
        <v>6.5000000000000002E-2</v>
      </c>
      <c r="L412" s="10">
        <v>6.5000000000000002E-2</v>
      </c>
      <c r="M412" s="29"/>
    </row>
    <row r="413" spans="1:13" x14ac:dyDescent="0.25">
      <c r="A413" t="s">
        <v>96</v>
      </c>
      <c r="B413" t="s">
        <v>83</v>
      </c>
      <c r="C413" s="4">
        <v>44286</v>
      </c>
      <c r="D413" t="s">
        <v>20</v>
      </c>
      <c r="E413" t="s">
        <v>28</v>
      </c>
      <c r="F413" t="s">
        <v>39</v>
      </c>
      <c r="G413" t="s">
        <v>34</v>
      </c>
      <c r="I413" s="4">
        <v>46174</v>
      </c>
      <c r="J413" t="s">
        <v>30</v>
      </c>
      <c r="K413" s="10">
        <v>6.5000000000000002E-2</v>
      </c>
      <c r="L413" s="10">
        <v>6.5000000000000002E-2</v>
      </c>
      <c r="M413" s="29"/>
    </row>
    <row r="414" spans="1:13" x14ac:dyDescent="0.25">
      <c r="A414" t="s">
        <v>96</v>
      </c>
      <c r="B414" t="s">
        <v>83</v>
      </c>
      <c r="C414" s="4">
        <v>44286</v>
      </c>
      <c r="D414" t="s">
        <v>20</v>
      </c>
      <c r="E414" t="s">
        <v>28</v>
      </c>
      <c r="F414" t="s">
        <v>39</v>
      </c>
      <c r="G414" t="s">
        <v>34</v>
      </c>
      <c r="I414" s="4">
        <v>46539</v>
      </c>
      <c r="J414" t="s">
        <v>30</v>
      </c>
      <c r="K414" s="10">
        <v>6.5000000000000002E-2</v>
      </c>
      <c r="L414" s="10">
        <v>6.5000000000000002E-2</v>
      </c>
      <c r="M414" s="29"/>
    </row>
    <row r="415" spans="1:13" x14ac:dyDescent="0.25">
      <c r="A415" t="s">
        <v>96</v>
      </c>
      <c r="B415" t="s">
        <v>83</v>
      </c>
      <c r="C415" s="4">
        <v>44286</v>
      </c>
      <c r="D415" t="s">
        <v>20</v>
      </c>
      <c r="E415" t="s">
        <v>28</v>
      </c>
      <c r="F415" t="s">
        <v>39</v>
      </c>
      <c r="G415" t="s">
        <v>34</v>
      </c>
      <c r="I415" s="4">
        <v>46905</v>
      </c>
      <c r="J415" t="s">
        <v>30</v>
      </c>
      <c r="K415" s="10">
        <v>6.5000000000000002E-2</v>
      </c>
      <c r="L415" s="10">
        <v>6.5000000000000002E-2</v>
      </c>
      <c r="M415" s="29"/>
    </row>
    <row r="416" spans="1:13" x14ac:dyDescent="0.25">
      <c r="A416" t="s">
        <v>96</v>
      </c>
      <c r="B416" t="s">
        <v>83</v>
      </c>
      <c r="C416" s="4">
        <v>44286</v>
      </c>
      <c r="D416" t="s">
        <v>20</v>
      </c>
      <c r="E416" t="s">
        <v>28</v>
      </c>
      <c r="F416" t="s">
        <v>39</v>
      </c>
      <c r="G416" t="s">
        <v>34</v>
      </c>
      <c r="I416" s="4">
        <v>47270</v>
      </c>
      <c r="J416" t="s">
        <v>30</v>
      </c>
      <c r="K416" s="10">
        <v>6.5000000000000002E-2</v>
      </c>
      <c r="L416" s="10">
        <v>6.5000000000000002E-2</v>
      </c>
      <c r="M416" s="29"/>
    </row>
    <row r="417" spans="1:13" x14ac:dyDescent="0.25">
      <c r="A417" t="s">
        <v>96</v>
      </c>
      <c r="B417" t="s">
        <v>83</v>
      </c>
      <c r="C417" s="4">
        <v>44286</v>
      </c>
      <c r="D417" t="s">
        <v>20</v>
      </c>
      <c r="E417" t="s">
        <v>28</v>
      </c>
      <c r="F417" t="s">
        <v>28</v>
      </c>
      <c r="G417" t="s">
        <v>34</v>
      </c>
      <c r="I417" s="4">
        <v>43983</v>
      </c>
      <c r="J417" t="s">
        <v>30</v>
      </c>
      <c r="K417" s="10">
        <v>6.5000000000000002E-2</v>
      </c>
      <c r="L417" s="10">
        <v>6.5000000000000002E-2</v>
      </c>
      <c r="M417" s="29"/>
    </row>
    <row r="418" spans="1:13" x14ac:dyDescent="0.25">
      <c r="A418" t="s">
        <v>97</v>
      </c>
      <c r="B418" t="s">
        <v>83</v>
      </c>
      <c r="C418" s="4">
        <v>44286</v>
      </c>
      <c r="D418" t="s">
        <v>20</v>
      </c>
      <c r="E418" t="s">
        <v>28</v>
      </c>
      <c r="F418" t="s">
        <v>40</v>
      </c>
      <c r="G418" t="s">
        <v>34</v>
      </c>
      <c r="L418" s="7"/>
      <c r="M418" s="29"/>
    </row>
    <row r="419" spans="1:13" x14ac:dyDescent="0.25">
      <c r="A419" t="s">
        <v>98</v>
      </c>
      <c r="B419" t="s">
        <v>83</v>
      </c>
      <c r="C419" s="4">
        <v>44286</v>
      </c>
      <c r="D419" t="s">
        <v>20</v>
      </c>
      <c r="E419" t="s">
        <v>28</v>
      </c>
      <c r="F419" t="s">
        <v>40</v>
      </c>
      <c r="G419" t="s">
        <v>34</v>
      </c>
      <c r="L419" s="7"/>
      <c r="M419" s="29"/>
    </row>
    <row r="420" spans="1:13" x14ac:dyDescent="0.25">
      <c r="A420" t="s">
        <v>98</v>
      </c>
      <c r="B420" t="s">
        <v>83</v>
      </c>
      <c r="C420" s="4">
        <v>44286</v>
      </c>
      <c r="D420" t="s">
        <v>20</v>
      </c>
      <c r="E420" t="s">
        <v>21</v>
      </c>
      <c r="F420" t="s">
        <v>75</v>
      </c>
      <c r="G420" t="s">
        <v>34</v>
      </c>
      <c r="I420" s="4">
        <v>44106</v>
      </c>
      <c r="J420" t="s">
        <v>24</v>
      </c>
      <c r="K420" s="6">
        <v>1.0549999999999999</v>
      </c>
      <c r="L420" s="10">
        <v>2.2682499999999998E-2</v>
      </c>
      <c r="M420" s="29"/>
    </row>
    <row r="421" spans="1:13" x14ac:dyDescent="0.25">
      <c r="A421" t="s">
        <v>99</v>
      </c>
      <c r="B421" t="s">
        <v>84</v>
      </c>
      <c r="C421" s="4">
        <v>44377</v>
      </c>
      <c r="D421" t="s">
        <v>20</v>
      </c>
      <c r="E421" t="s">
        <v>21</v>
      </c>
      <c r="F421" t="s">
        <v>76</v>
      </c>
      <c r="G421" t="s">
        <v>23</v>
      </c>
      <c r="I421" s="4">
        <v>44696</v>
      </c>
      <c r="J421" t="s">
        <v>24</v>
      </c>
      <c r="K421" s="10">
        <v>1.7999999999999999E-2</v>
      </c>
      <c r="L421" s="10">
        <v>3.9499999999999993E-2</v>
      </c>
      <c r="M421" s="29"/>
    </row>
    <row r="422" spans="1:13" x14ac:dyDescent="0.25">
      <c r="A422" t="s">
        <v>100</v>
      </c>
      <c r="B422" t="s">
        <v>84</v>
      </c>
      <c r="C422" s="4">
        <v>44377</v>
      </c>
      <c r="D422" t="s">
        <v>20</v>
      </c>
      <c r="E422" t="s">
        <v>21</v>
      </c>
      <c r="F422" t="s">
        <v>77</v>
      </c>
      <c r="G422" t="s">
        <v>23</v>
      </c>
      <c r="I422" s="4">
        <v>45427</v>
      </c>
      <c r="J422" t="s">
        <v>27</v>
      </c>
      <c r="K422" s="10">
        <v>4.4999999999999998E-2</v>
      </c>
      <c r="L422" s="7">
        <v>8.7999999999999995E-2</v>
      </c>
      <c r="M422" s="29"/>
    </row>
    <row r="423" spans="1:13" x14ac:dyDescent="0.25">
      <c r="A423" t="s">
        <v>101</v>
      </c>
      <c r="B423" t="s">
        <v>84</v>
      </c>
      <c r="C423" s="4">
        <v>44377</v>
      </c>
      <c r="D423" t="s">
        <v>20</v>
      </c>
      <c r="E423" t="s">
        <v>21</v>
      </c>
      <c r="F423" t="s">
        <v>78</v>
      </c>
      <c r="G423" t="s">
        <v>23</v>
      </c>
      <c r="I423" s="4">
        <v>45790</v>
      </c>
      <c r="J423" t="s">
        <v>79</v>
      </c>
      <c r="K423" s="10">
        <v>1.6</v>
      </c>
      <c r="L423" s="7">
        <v>3.44E-2</v>
      </c>
      <c r="M423" s="29"/>
    </row>
    <row r="424" spans="1:13" x14ac:dyDescent="0.25">
      <c r="A424" t="s">
        <v>102</v>
      </c>
      <c r="B424" t="s">
        <v>84</v>
      </c>
      <c r="C424" s="4">
        <v>44377</v>
      </c>
      <c r="D424" t="s">
        <v>20</v>
      </c>
      <c r="E424" t="s">
        <v>21</v>
      </c>
      <c r="F424" t="s">
        <v>80</v>
      </c>
      <c r="G424" t="s">
        <v>23</v>
      </c>
      <c r="I424" s="4">
        <v>46155</v>
      </c>
      <c r="J424" t="s">
        <v>79</v>
      </c>
      <c r="K424" s="10">
        <v>1.6</v>
      </c>
      <c r="L424" s="7">
        <v>3.44E-2</v>
      </c>
      <c r="M424" s="29"/>
    </row>
    <row r="425" spans="1:13" x14ac:dyDescent="0.25">
      <c r="A425" t="s">
        <v>103</v>
      </c>
      <c r="B425" t="s">
        <v>84</v>
      </c>
      <c r="C425" s="4">
        <v>44377</v>
      </c>
      <c r="D425" t="s">
        <v>20</v>
      </c>
      <c r="E425" t="s">
        <v>21</v>
      </c>
      <c r="F425" t="s">
        <v>81</v>
      </c>
      <c r="G425" t="s">
        <v>23</v>
      </c>
      <c r="I425" s="4">
        <v>45820</v>
      </c>
      <c r="J425" t="s">
        <v>79</v>
      </c>
      <c r="K425" s="10">
        <v>1.6</v>
      </c>
      <c r="L425" s="7">
        <v>3.44E-2</v>
      </c>
      <c r="M425" s="29"/>
    </row>
    <row r="426" spans="1:13" x14ac:dyDescent="0.25">
      <c r="A426" t="s">
        <v>104</v>
      </c>
      <c r="B426" t="s">
        <v>84</v>
      </c>
      <c r="C426" s="4">
        <v>44377</v>
      </c>
      <c r="D426" t="s">
        <v>20</v>
      </c>
      <c r="E426" t="s">
        <v>28</v>
      </c>
      <c r="F426" t="s">
        <v>29</v>
      </c>
      <c r="G426" t="s">
        <v>23</v>
      </c>
      <c r="I426" s="4">
        <v>43983</v>
      </c>
      <c r="J426" t="s">
        <v>30</v>
      </c>
      <c r="K426" s="10">
        <v>8.3500000000000005E-2</v>
      </c>
      <c r="L426" s="10">
        <v>8.3500000000000005E-2</v>
      </c>
      <c r="M426" s="29"/>
    </row>
    <row r="427" spans="1:13" x14ac:dyDescent="0.25">
      <c r="A427" t="s">
        <v>105</v>
      </c>
      <c r="B427" t="s">
        <v>84</v>
      </c>
      <c r="C427" s="4">
        <v>44377</v>
      </c>
      <c r="D427" t="s">
        <v>20</v>
      </c>
      <c r="E427" t="s">
        <v>28</v>
      </c>
      <c r="F427" t="s">
        <v>29</v>
      </c>
      <c r="G427" t="s">
        <v>23</v>
      </c>
      <c r="I427" s="4">
        <v>44348</v>
      </c>
      <c r="J427" t="s">
        <v>30</v>
      </c>
      <c r="K427" s="10">
        <v>8.3500000000000005E-2</v>
      </c>
      <c r="L427" s="10">
        <v>8.3500000000000005E-2</v>
      </c>
      <c r="M427" s="29"/>
    </row>
    <row r="428" spans="1:13" x14ac:dyDescent="0.25">
      <c r="A428" t="s">
        <v>105</v>
      </c>
      <c r="B428" t="s">
        <v>84</v>
      </c>
      <c r="C428" s="4">
        <v>44377</v>
      </c>
      <c r="D428" t="s">
        <v>20</v>
      </c>
      <c r="E428" t="s">
        <v>28</v>
      </c>
      <c r="F428" t="s">
        <v>29</v>
      </c>
      <c r="G428" t="s">
        <v>23</v>
      </c>
      <c r="I428" s="4">
        <v>44377</v>
      </c>
      <c r="J428" t="s">
        <v>24</v>
      </c>
      <c r="K428" s="10">
        <v>0.04</v>
      </c>
      <c r="L428" s="10">
        <v>0.04</v>
      </c>
      <c r="M428" s="29"/>
    </row>
    <row r="429" spans="1:13" x14ac:dyDescent="0.25">
      <c r="A429" t="s">
        <v>105</v>
      </c>
      <c r="B429" t="s">
        <v>84</v>
      </c>
      <c r="C429" s="4">
        <v>44377</v>
      </c>
      <c r="D429" t="s">
        <v>20</v>
      </c>
      <c r="E429" t="s">
        <v>31</v>
      </c>
      <c r="F429" t="s">
        <v>31</v>
      </c>
      <c r="G429" t="s">
        <v>23</v>
      </c>
      <c r="I429" s="4">
        <v>44377</v>
      </c>
      <c r="J429" t="s">
        <v>24</v>
      </c>
      <c r="K429" s="10">
        <v>0.04</v>
      </c>
      <c r="L429" s="7">
        <v>6.1499999999999999E-2</v>
      </c>
      <c r="M429" s="29"/>
    </row>
    <row r="430" spans="1:13" x14ac:dyDescent="0.25">
      <c r="A430" t="s">
        <v>106</v>
      </c>
      <c r="B430" t="s">
        <v>84</v>
      </c>
      <c r="C430" s="4">
        <v>44377</v>
      </c>
      <c r="D430" t="s">
        <v>20</v>
      </c>
      <c r="E430" t="s">
        <v>31</v>
      </c>
      <c r="F430" t="s">
        <v>31</v>
      </c>
      <c r="G430" t="s">
        <v>23</v>
      </c>
      <c r="I430" s="4">
        <v>44348</v>
      </c>
      <c r="J430" t="s">
        <v>24</v>
      </c>
      <c r="K430" s="10">
        <v>0.03</v>
      </c>
      <c r="L430" s="7">
        <v>5.1499999999999997E-2</v>
      </c>
      <c r="M430" s="29"/>
    </row>
    <row r="431" spans="1:13" x14ac:dyDescent="0.25">
      <c r="A431" t="s">
        <v>106</v>
      </c>
      <c r="B431" t="s">
        <v>84</v>
      </c>
      <c r="C431" s="4">
        <v>44377</v>
      </c>
      <c r="D431" t="s">
        <v>20</v>
      </c>
      <c r="E431" t="s">
        <v>28</v>
      </c>
      <c r="F431" t="s">
        <v>32</v>
      </c>
      <c r="G431" t="s">
        <v>23</v>
      </c>
      <c r="I431" s="4">
        <v>44301</v>
      </c>
      <c r="J431" t="s">
        <v>24</v>
      </c>
      <c r="K431" s="10">
        <v>2.35E-2</v>
      </c>
      <c r="L431" s="7">
        <v>7.0000000000000007E-2</v>
      </c>
      <c r="M431" s="29"/>
    </row>
    <row r="432" spans="1:13" x14ac:dyDescent="0.25">
      <c r="A432" t="s">
        <v>107</v>
      </c>
      <c r="B432" t="s">
        <v>84</v>
      </c>
      <c r="C432" s="4">
        <v>44377</v>
      </c>
      <c r="D432" t="s">
        <v>20</v>
      </c>
      <c r="E432" t="s">
        <v>28</v>
      </c>
      <c r="F432" t="s">
        <v>32</v>
      </c>
      <c r="G432" t="s">
        <v>23</v>
      </c>
      <c r="I432" s="4">
        <v>44666</v>
      </c>
      <c r="J432" t="s">
        <v>24</v>
      </c>
      <c r="K432" s="10">
        <v>2.35E-2</v>
      </c>
      <c r="L432" s="7">
        <v>7.0000000000000007E-2</v>
      </c>
      <c r="M432" s="29"/>
    </row>
    <row r="433" spans="1:13" x14ac:dyDescent="0.25">
      <c r="A433" t="s">
        <v>107</v>
      </c>
      <c r="B433" t="s">
        <v>84</v>
      </c>
      <c r="C433" s="4">
        <v>44377</v>
      </c>
      <c r="D433" t="s">
        <v>20</v>
      </c>
      <c r="E433" t="s">
        <v>28</v>
      </c>
      <c r="F433" t="s">
        <v>32</v>
      </c>
      <c r="G433" t="s">
        <v>23</v>
      </c>
      <c r="I433" s="4">
        <v>45031</v>
      </c>
      <c r="J433" t="s">
        <v>24</v>
      </c>
      <c r="K433" s="10">
        <v>2.35E-2</v>
      </c>
      <c r="L433" s="7">
        <v>7.0000000000000007E-2</v>
      </c>
      <c r="M433" s="29"/>
    </row>
    <row r="434" spans="1:13" x14ac:dyDescent="0.25">
      <c r="A434" t="s">
        <v>107</v>
      </c>
      <c r="B434" t="s">
        <v>84</v>
      </c>
      <c r="C434" s="4">
        <v>44377</v>
      </c>
      <c r="D434" t="s">
        <v>20</v>
      </c>
      <c r="E434" t="s">
        <v>33</v>
      </c>
      <c r="F434" t="s">
        <v>33</v>
      </c>
      <c r="G434" t="s">
        <v>23</v>
      </c>
      <c r="I434" s="4">
        <v>43983</v>
      </c>
      <c r="J434" t="s">
        <v>30</v>
      </c>
      <c r="K434" s="10">
        <v>5.5E-2</v>
      </c>
      <c r="L434" s="10">
        <v>5.5E-2</v>
      </c>
      <c r="M434" s="29"/>
    </row>
    <row r="435" spans="1:13" x14ac:dyDescent="0.25">
      <c r="A435" t="s">
        <v>108</v>
      </c>
      <c r="B435" t="s">
        <v>84</v>
      </c>
      <c r="C435" s="4">
        <v>44377</v>
      </c>
      <c r="D435" t="s">
        <v>20</v>
      </c>
      <c r="E435" t="s">
        <v>35</v>
      </c>
      <c r="F435" t="s">
        <v>35</v>
      </c>
      <c r="G435" t="s">
        <v>34</v>
      </c>
      <c r="I435" s="4">
        <v>44002</v>
      </c>
      <c r="J435" t="s">
        <v>30</v>
      </c>
      <c r="K435" s="10">
        <v>6.5000000000000002E-2</v>
      </c>
      <c r="L435" s="10">
        <v>6.5000000000000002E-2</v>
      </c>
      <c r="M435" s="29"/>
    </row>
    <row r="436" spans="1:13" x14ac:dyDescent="0.25">
      <c r="A436" t="s">
        <v>109</v>
      </c>
      <c r="B436" t="s">
        <v>84</v>
      </c>
      <c r="C436" s="4">
        <v>44377</v>
      </c>
      <c r="D436" t="s">
        <v>20</v>
      </c>
      <c r="E436" t="s">
        <v>35</v>
      </c>
      <c r="F436" t="s">
        <v>35</v>
      </c>
      <c r="G436" t="s">
        <v>34</v>
      </c>
      <c r="I436" s="4">
        <v>46285</v>
      </c>
      <c r="J436" t="s">
        <v>30</v>
      </c>
      <c r="K436" s="10">
        <v>6.5000000000000002E-2</v>
      </c>
      <c r="L436" s="10">
        <v>6.5000000000000002E-2</v>
      </c>
      <c r="M436" s="29"/>
    </row>
    <row r="437" spans="1:13" x14ac:dyDescent="0.25">
      <c r="A437" t="s">
        <v>109</v>
      </c>
      <c r="B437" t="s">
        <v>84</v>
      </c>
      <c r="C437" s="4">
        <v>44377</v>
      </c>
      <c r="D437" t="s">
        <v>20</v>
      </c>
      <c r="E437" t="s">
        <v>35</v>
      </c>
      <c r="F437" t="s">
        <v>35</v>
      </c>
      <c r="G437" t="s">
        <v>34</v>
      </c>
      <c r="I437" s="4">
        <v>47016</v>
      </c>
      <c r="J437" t="s">
        <v>30</v>
      </c>
      <c r="K437" s="10">
        <v>5.8749999999999997E-2</v>
      </c>
      <c r="L437" s="10">
        <v>5.8749999999999997E-2</v>
      </c>
      <c r="M437" s="29"/>
    </row>
    <row r="438" spans="1:13" x14ac:dyDescent="0.25">
      <c r="A438" t="s">
        <v>109</v>
      </c>
      <c r="B438" t="s">
        <v>84</v>
      </c>
      <c r="C438" s="4">
        <v>44377</v>
      </c>
      <c r="D438" t="s">
        <v>20</v>
      </c>
      <c r="E438" t="s">
        <v>36</v>
      </c>
      <c r="F438" t="s">
        <v>36</v>
      </c>
      <c r="G438" t="s">
        <v>34</v>
      </c>
      <c r="I438" s="4">
        <v>44348</v>
      </c>
      <c r="J438" t="s">
        <v>37</v>
      </c>
      <c r="K438" s="12">
        <v>0.02</v>
      </c>
      <c r="L438" s="7">
        <v>2.5000000000000001E-2</v>
      </c>
      <c r="M438" s="29"/>
    </row>
    <row r="439" spans="1:13" x14ac:dyDescent="0.25">
      <c r="A439" t="s">
        <v>110</v>
      </c>
      <c r="B439" t="s">
        <v>84</v>
      </c>
      <c r="C439" s="4">
        <v>44377</v>
      </c>
      <c r="D439" t="s">
        <v>20</v>
      </c>
      <c r="E439" t="s">
        <v>36</v>
      </c>
      <c r="F439" t="s">
        <v>36</v>
      </c>
      <c r="G439" t="s">
        <v>34</v>
      </c>
      <c r="I439" s="4">
        <v>44348</v>
      </c>
      <c r="J439" t="s">
        <v>37</v>
      </c>
      <c r="K439" s="12">
        <v>0.02</v>
      </c>
      <c r="L439" s="7">
        <v>2.5000000000000001E-2</v>
      </c>
      <c r="M439" s="29"/>
    </row>
    <row r="440" spans="1:13" x14ac:dyDescent="0.25">
      <c r="A440" t="s">
        <v>110</v>
      </c>
      <c r="B440" t="s">
        <v>84</v>
      </c>
      <c r="C440" s="4">
        <v>44377</v>
      </c>
      <c r="D440" t="s">
        <v>20</v>
      </c>
      <c r="E440" t="s">
        <v>36</v>
      </c>
      <c r="F440" t="s">
        <v>36</v>
      </c>
      <c r="G440" t="s">
        <v>34</v>
      </c>
      <c r="I440" s="4">
        <v>44713</v>
      </c>
      <c r="J440" t="s">
        <v>37</v>
      </c>
      <c r="K440" s="12">
        <v>0.02</v>
      </c>
      <c r="L440" s="7">
        <v>2.5000000000000001E-2</v>
      </c>
      <c r="M440" s="29"/>
    </row>
    <row r="441" spans="1:13" x14ac:dyDescent="0.25">
      <c r="A441" t="s">
        <v>110</v>
      </c>
      <c r="B441" t="s">
        <v>84</v>
      </c>
      <c r="C441" s="4">
        <v>44377</v>
      </c>
      <c r="D441" t="s">
        <v>20</v>
      </c>
      <c r="E441" t="s">
        <v>28</v>
      </c>
      <c r="F441" t="s">
        <v>39</v>
      </c>
      <c r="G441" t="s">
        <v>34</v>
      </c>
      <c r="I441" s="4">
        <v>43983</v>
      </c>
      <c r="J441" t="s">
        <v>30</v>
      </c>
      <c r="K441" s="10">
        <v>6.5000000000000002E-2</v>
      </c>
      <c r="L441" s="10">
        <v>6.5000000000000002E-2</v>
      </c>
      <c r="M441" s="29"/>
    </row>
    <row r="442" spans="1:13" x14ac:dyDescent="0.25">
      <c r="A442" t="s">
        <v>111</v>
      </c>
      <c r="B442" t="s">
        <v>84</v>
      </c>
      <c r="C442" s="4">
        <v>44377</v>
      </c>
      <c r="D442" t="s">
        <v>20</v>
      </c>
      <c r="E442" t="s">
        <v>28</v>
      </c>
      <c r="F442" t="s">
        <v>28</v>
      </c>
      <c r="G442" t="s">
        <v>34</v>
      </c>
      <c r="I442" s="4">
        <v>43983</v>
      </c>
      <c r="J442" t="s">
        <v>30</v>
      </c>
      <c r="K442" s="10">
        <v>6.5000000000000002E-2</v>
      </c>
      <c r="L442" s="10">
        <v>6.5000000000000002E-2</v>
      </c>
      <c r="M442" s="29"/>
    </row>
    <row r="443" spans="1:13" x14ac:dyDescent="0.25">
      <c r="A443" t="s">
        <v>112</v>
      </c>
      <c r="B443" t="s">
        <v>84</v>
      </c>
      <c r="C443" s="4">
        <v>44377</v>
      </c>
      <c r="D443" t="s">
        <v>20</v>
      </c>
      <c r="E443" t="s">
        <v>28</v>
      </c>
      <c r="F443" t="s">
        <v>40</v>
      </c>
      <c r="G443" t="s">
        <v>34</v>
      </c>
      <c r="I443" s="4">
        <v>43983</v>
      </c>
      <c r="J443" t="s">
        <v>30</v>
      </c>
      <c r="K443" s="10">
        <v>6.5000000000000002E-2</v>
      </c>
      <c r="L443" s="10">
        <v>6.5000000000000002E-2</v>
      </c>
      <c r="M443" s="29"/>
    </row>
    <row r="444" spans="1:13" x14ac:dyDescent="0.25">
      <c r="A444" t="s">
        <v>113</v>
      </c>
      <c r="B444" t="s">
        <v>84</v>
      </c>
      <c r="C444" s="4">
        <v>44377</v>
      </c>
      <c r="D444" t="s">
        <v>20</v>
      </c>
      <c r="E444" t="s">
        <v>28</v>
      </c>
      <c r="F444" t="s">
        <v>40</v>
      </c>
      <c r="G444" t="s">
        <v>34</v>
      </c>
      <c r="I444" s="4">
        <v>44348</v>
      </c>
      <c r="J444" t="s">
        <v>30</v>
      </c>
      <c r="K444" s="10">
        <v>6.5000000000000002E-2</v>
      </c>
      <c r="L444" s="10">
        <v>6.5000000000000002E-2</v>
      </c>
      <c r="M444" s="29"/>
    </row>
    <row r="445" spans="1:13" x14ac:dyDescent="0.25">
      <c r="A445" t="s">
        <v>113</v>
      </c>
      <c r="B445" t="s">
        <v>84</v>
      </c>
      <c r="C445" s="4">
        <v>44377</v>
      </c>
      <c r="D445" t="s">
        <v>20</v>
      </c>
      <c r="E445" t="s">
        <v>28</v>
      </c>
      <c r="F445" t="s">
        <v>40</v>
      </c>
      <c r="G445" t="s">
        <v>34</v>
      </c>
      <c r="I445" s="4">
        <v>44713</v>
      </c>
      <c r="J445" t="s">
        <v>30</v>
      </c>
      <c r="K445" s="10">
        <v>6.5000000000000002E-2</v>
      </c>
      <c r="L445" s="10">
        <v>6.5000000000000002E-2</v>
      </c>
      <c r="M445" s="29"/>
    </row>
    <row r="446" spans="1:13" x14ac:dyDescent="0.25">
      <c r="A446" t="s">
        <v>113</v>
      </c>
      <c r="B446" t="s">
        <v>84</v>
      </c>
      <c r="C446" s="4">
        <v>44377</v>
      </c>
      <c r="D446" t="s">
        <v>20</v>
      </c>
      <c r="E446" t="s">
        <v>28</v>
      </c>
      <c r="F446" t="s">
        <v>40</v>
      </c>
      <c r="G446" t="s">
        <v>34</v>
      </c>
      <c r="I446" s="4">
        <v>45078</v>
      </c>
      <c r="J446" t="s">
        <v>30</v>
      </c>
      <c r="K446" s="10">
        <v>6.5000000000000002E-2</v>
      </c>
      <c r="L446" s="10">
        <v>6.5000000000000002E-2</v>
      </c>
      <c r="M446" s="29"/>
    </row>
    <row r="447" spans="1:13" x14ac:dyDescent="0.25">
      <c r="A447" t="s">
        <v>113</v>
      </c>
      <c r="B447" t="s">
        <v>84</v>
      </c>
      <c r="C447" s="4">
        <v>44377</v>
      </c>
      <c r="D447" t="s">
        <v>20</v>
      </c>
      <c r="E447" t="s">
        <v>28</v>
      </c>
      <c r="F447" t="s">
        <v>40</v>
      </c>
      <c r="G447" t="s">
        <v>34</v>
      </c>
      <c r="I447" s="4">
        <v>45444</v>
      </c>
      <c r="J447" t="s">
        <v>30</v>
      </c>
      <c r="K447" s="10">
        <v>6.5000000000000002E-2</v>
      </c>
      <c r="L447" s="10">
        <v>6.5000000000000002E-2</v>
      </c>
      <c r="M447" s="29"/>
    </row>
    <row r="448" spans="1:13" x14ac:dyDescent="0.25">
      <c r="A448" t="s">
        <v>113</v>
      </c>
      <c r="B448" t="s">
        <v>84</v>
      </c>
      <c r="C448" s="4">
        <v>44377</v>
      </c>
      <c r="D448" t="s">
        <v>20</v>
      </c>
      <c r="E448" t="s">
        <v>28</v>
      </c>
      <c r="F448" t="s">
        <v>40</v>
      </c>
      <c r="G448" t="s">
        <v>34</v>
      </c>
      <c r="I448" s="4">
        <v>45809</v>
      </c>
      <c r="J448" t="s">
        <v>30</v>
      </c>
      <c r="K448" s="10">
        <v>6.5000000000000002E-2</v>
      </c>
      <c r="L448" s="10">
        <v>6.5000000000000002E-2</v>
      </c>
      <c r="M448" s="29"/>
    </row>
    <row r="449" spans="1:13" x14ac:dyDescent="0.25">
      <c r="A449" t="s">
        <v>113</v>
      </c>
      <c r="B449" t="s">
        <v>84</v>
      </c>
      <c r="C449" s="4">
        <v>44377</v>
      </c>
      <c r="D449" t="s">
        <v>20</v>
      </c>
      <c r="E449" t="s">
        <v>28</v>
      </c>
      <c r="F449" t="s">
        <v>40</v>
      </c>
      <c r="G449" t="s">
        <v>34</v>
      </c>
      <c r="I449" s="4">
        <v>46174</v>
      </c>
      <c r="J449" t="s">
        <v>30</v>
      </c>
      <c r="K449" s="10">
        <v>6.5000000000000002E-2</v>
      </c>
      <c r="L449" s="10">
        <v>6.5000000000000002E-2</v>
      </c>
      <c r="M449" s="29"/>
    </row>
    <row r="450" spans="1:13" x14ac:dyDescent="0.25">
      <c r="A450" t="s">
        <v>113</v>
      </c>
      <c r="B450" t="s">
        <v>84</v>
      </c>
      <c r="C450" s="4">
        <v>44377</v>
      </c>
      <c r="D450" t="s">
        <v>20</v>
      </c>
      <c r="E450" t="s">
        <v>28</v>
      </c>
      <c r="F450" t="s">
        <v>40</v>
      </c>
      <c r="G450" t="s">
        <v>34</v>
      </c>
      <c r="I450" s="4">
        <v>46539</v>
      </c>
      <c r="J450" t="s">
        <v>30</v>
      </c>
      <c r="K450" s="10">
        <v>6.5000000000000002E-2</v>
      </c>
      <c r="L450" s="10">
        <v>6.5000000000000002E-2</v>
      </c>
      <c r="M450" s="29"/>
    </row>
    <row r="451" spans="1:13" x14ac:dyDescent="0.25">
      <c r="A451" t="s">
        <v>113</v>
      </c>
      <c r="B451" t="s">
        <v>84</v>
      </c>
      <c r="C451" s="4">
        <v>44377</v>
      </c>
      <c r="D451" t="s">
        <v>20</v>
      </c>
      <c r="E451" t="s">
        <v>28</v>
      </c>
      <c r="F451" t="s">
        <v>40</v>
      </c>
      <c r="G451" t="s">
        <v>34</v>
      </c>
      <c r="I451" s="4">
        <v>46905</v>
      </c>
      <c r="J451" t="s">
        <v>30</v>
      </c>
      <c r="K451" s="10">
        <v>6.5000000000000002E-2</v>
      </c>
      <c r="L451" s="10">
        <v>6.5000000000000002E-2</v>
      </c>
      <c r="M451" s="29"/>
    </row>
    <row r="452" spans="1:13" x14ac:dyDescent="0.25">
      <c r="A452" t="s">
        <v>113</v>
      </c>
      <c r="B452" t="s">
        <v>84</v>
      </c>
      <c r="C452" s="4">
        <v>44377</v>
      </c>
      <c r="D452" t="s">
        <v>20</v>
      </c>
      <c r="E452" t="s">
        <v>28</v>
      </c>
      <c r="F452" t="s">
        <v>40</v>
      </c>
      <c r="G452" t="s">
        <v>34</v>
      </c>
      <c r="I452" s="4">
        <v>47270</v>
      </c>
      <c r="J452" t="s">
        <v>30</v>
      </c>
      <c r="K452" s="10">
        <v>6.5000000000000002E-2</v>
      </c>
      <c r="L452" s="10">
        <v>6.5000000000000002E-2</v>
      </c>
      <c r="M452" s="29"/>
    </row>
    <row r="453" spans="1:13" x14ac:dyDescent="0.25">
      <c r="A453" t="s">
        <v>113</v>
      </c>
      <c r="B453" t="s">
        <v>84</v>
      </c>
      <c r="C453" s="4">
        <v>44377</v>
      </c>
      <c r="D453" t="s">
        <v>20</v>
      </c>
      <c r="E453" t="s">
        <v>21</v>
      </c>
      <c r="F453" t="s">
        <v>75</v>
      </c>
      <c r="G453" t="s">
        <v>34</v>
      </c>
      <c r="I453" s="4">
        <v>44106</v>
      </c>
      <c r="J453" t="s">
        <v>24</v>
      </c>
      <c r="K453" s="6">
        <v>1.0549999999999999</v>
      </c>
      <c r="L453" s="7">
        <v>2.0055369799031997E-2</v>
      </c>
      <c r="M453" s="29"/>
    </row>
    <row r="454" spans="1:13" x14ac:dyDescent="0.25">
      <c r="A454" t="s">
        <v>114</v>
      </c>
      <c r="B454" t="s">
        <v>85</v>
      </c>
      <c r="C454" s="4">
        <v>44469</v>
      </c>
      <c r="D454" t="s">
        <v>20</v>
      </c>
      <c r="E454" t="s">
        <v>21</v>
      </c>
      <c r="F454" t="s">
        <v>76</v>
      </c>
      <c r="G454" t="s">
        <v>23</v>
      </c>
      <c r="I454" s="4">
        <v>44696</v>
      </c>
      <c r="J454" t="s">
        <v>24</v>
      </c>
      <c r="K454" s="10">
        <v>1.7999999999999999E-2</v>
      </c>
      <c r="L454" s="10">
        <v>3.7341999999999986E-2</v>
      </c>
      <c r="M454" s="29"/>
    </row>
    <row r="455" spans="1:13" x14ac:dyDescent="0.25">
      <c r="A455" t="s">
        <v>115</v>
      </c>
      <c r="B455" t="s">
        <v>85</v>
      </c>
      <c r="C455" s="4">
        <v>44469</v>
      </c>
      <c r="D455" t="s">
        <v>20</v>
      </c>
      <c r="E455" t="s">
        <v>21</v>
      </c>
      <c r="F455" t="s">
        <v>77</v>
      </c>
      <c r="G455" t="s">
        <v>23</v>
      </c>
      <c r="I455" s="4">
        <v>45427</v>
      </c>
      <c r="J455" t="s">
        <v>27</v>
      </c>
      <c r="K455" s="10">
        <v>4.4999999999999998E-2</v>
      </c>
      <c r="L455" s="7">
        <v>0.08</v>
      </c>
      <c r="M455" s="29"/>
    </row>
    <row r="456" spans="1:13" x14ac:dyDescent="0.25">
      <c r="A456" t="s">
        <v>116</v>
      </c>
      <c r="B456" t="s">
        <v>85</v>
      </c>
      <c r="C456" s="4">
        <v>44469</v>
      </c>
      <c r="D456" t="s">
        <v>20</v>
      </c>
      <c r="E456" t="s">
        <v>21</v>
      </c>
      <c r="F456" t="s">
        <v>78</v>
      </c>
      <c r="G456" t="s">
        <v>23</v>
      </c>
      <c r="I456" s="4">
        <v>45790</v>
      </c>
      <c r="J456" t="s">
        <v>79</v>
      </c>
      <c r="K456" s="10">
        <v>1.6</v>
      </c>
      <c r="L456" s="7">
        <v>3.0572148547360678E-2</v>
      </c>
      <c r="M456" s="29"/>
    </row>
    <row r="457" spans="1:13" x14ac:dyDescent="0.25">
      <c r="A457" t="s">
        <v>117</v>
      </c>
      <c r="B457" t="s">
        <v>85</v>
      </c>
      <c r="C457" s="4">
        <v>44469</v>
      </c>
      <c r="D457" t="s">
        <v>20</v>
      </c>
      <c r="E457" t="s">
        <v>21</v>
      </c>
      <c r="F457" t="s">
        <v>80</v>
      </c>
      <c r="G457" t="s">
        <v>23</v>
      </c>
      <c r="I457" s="4">
        <v>46155</v>
      </c>
      <c r="J457" t="s">
        <v>79</v>
      </c>
      <c r="K457" s="10">
        <v>1.6</v>
      </c>
      <c r="L457" s="7">
        <v>3.0572148547360678E-2</v>
      </c>
      <c r="M457" s="29"/>
    </row>
    <row r="458" spans="1:13" x14ac:dyDescent="0.25">
      <c r="A458" t="s">
        <v>118</v>
      </c>
      <c r="B458" t="s">
        <v>85</v>
      </c>
      <c r="C458" s="4">
        <v>44469</v>
      </c>
      <c r="D458" t="s">
        <v>20</v>
      </c>
      <c r="E458" t="s">
        <v>21</v>
      </c>
      <c r="F458" t="s">
        <v>81</v>
      </c>
      <c r="G458" t="s">
        <v>23</v>
      </c>
      <c r="I458" s="4">
        <v>45820</v>
      </c>
      <c r="J458" t="s">
        <v>79</v>
      </c>
      <c r="K458" s="10">
        <v>1.6</v>
      </c>
      <c r="L458" s="7">
        <v>3.0572148547360678E-2</v>
      </c>
      <c r="M458" s="29"/>
    </row>
    <row r="459" spans="1:13" x14ac:dyDescent="0.25">
      <c r="A459" t="s">
        <v>119</v>
      </c>
      <c r="B459" t="s">
        <v>85</v>
      </c>
      <c r="C459" s="4">
        <v>44469</v>
      </c>
      <c r="D459" t="s">
        <v>20</v>
      </c>
      <c r="E459" t="s">
        <v>28</v>
      </c>
      <c r="F459" t="s">
        <v>29</v>
      </c>
      <c r="G459" t="s">
        <v>23</v>
      </c>
      <c r="I459" s="4">
        <v>43983</v>
      </c>
      <c r="J459" t="s">
        <v>30</v>
      </c>
      <c r="K459" s="10">
        <v>8.3500000000000005E-2</v>
      </c>
      <c r="L459" s="10">
        <v>8.3500000000000005E-2</v>
      </c>
      <c r="M459" s="29"/>
    </row>
    <row r="460" spans="1:13" x14ac:dyDescent="0.25">
      <c r="A460" t="s">
        <v>120</v>
      </c>
      <c r="B460" t="s">
        <v>85</v>
      </c>
      <c r="C460" s="4">
        <v>44469</v>
      </c>
      <c r="D460" t="s">
        <v>20</v>
      </c>
      <c r="E460" t="s">
        <v>28</v>
      </c>
      <c r="F460" t="s">
        <v>29</v>
      </c>
      <c r="G460" t="s">
        <v>23</v>
      </c>
      <c r="I460" s="4">
        <v>44348</v>
      </c>
      <c r="J460" t="s">
        <v>30</v>
      </c>
      <c r="K460" s="10">
        <v>8.3500000000000005E-2</v>
      </c>
      <c r="L460" s="10">
        <v>8.3500000000000005E-2</v>
      </c>
      <c r="M460" s="29"/>
    </row>
    <row r="461" spans="1:13" x14ac:dyDescent="0.25">
      <c r="A461" t="s">
        <v>120</v>
      </c>
      <c r="B461" t="s">
        <v>85</v>
      </c>
      <c r="C461" s="4">
        <v>44469</v>
      </c>
      <c r="D461" t="s">
        <v>20</v>
      </c>
      <c r="E461" t="s">
        <v>28</v>
      </c>
      <c r="F461" t="s">
        <v>29</v>
      </c>
      <c r="G461" t="s">
        <v>23</v>
      </c>
      <c r="I461" s="4">
        <v>44377</v>
      </c>
      <c r="J461" t="s">
        <v>24</v>
      </c>
      <c r="K461" s="10">
        <v>0.04</v>
      </c>
      <c r="L461" s="10">
        <v>0.04</v>
      </c>
      <c r="M461" s="29"/>
    </row>
    <row r="462" spans="1:13" x14ac:dyDescent="0.25">
      <c r="A462" t="s">
        <v>120</v>
      </c>
      <c r="B462" t="s">
        <v>85</v>
      </c>
      <c r="C462" s="4">
        <v>44469</v>
      </c>
      <c r="D462" t="s">
        <v>20</v>
      </c>
      <c r="E462" t="s">
        <v>31</v>
      </c>
      <c r="F462" t="s">
        <v>31</v>
      </c>
      <c r="G462" t="s">
        <v>23</v>
      </c>
      <c r="I462" s="4">
        <v>44377</v>
      </c>
      <c r="J462" t="s">
        <v>24</v>
      </c>
      <c r="K462" s="10">
        <v>0.04</v>
      </c>
      <c r="L462" s="7">
        <v>6.1499999999999999E-2</v>
      </c>
      <c r="M462" s="29"/>
    </row>
    <row r="463" spans="1:13" x14ac:dyDescent="0.25">
      <c r="A463" t="s">
        <v>121</v>
      </c>
      <c r="B463" t="s">
        <v>85</v>
      </c>
      <c r="C463" s="4">
        <v>44469</v>
      </c>
      <c r="D463" t="s">
        <v>20</v>
      </c>
      <c r="E463" t="s">
        <v>28</v>
      </c>
      <c r="F463" t="s">
        <v>32</v>
      </c>
      <c r="G463" t="s">
        <v>23</v>
      </c>
      <c r="I463" s="4">
        <v>44301</v>
      </c>
      <c r="J463" t="s">
        <v>24</v>
      </c>
      <c r="K463" s="10">
        <v>2.35E-2</v>
      </c>
      <c r="L463" s="7">
        <v>7.0000000000000007E-2</v>
      </c>
      <c r="M463" s="29"/>
    </row>
    <row r="464" spans="1:13" x14ac:dyDescent="0.25">
      <c r="A464" t="s">
        <v>122</v>
      </c>
      <c r="B464" t="s">
        <v>85</v>
      </c>
      <c r="C464" s="4">
        <v>44469</v>
      </c>
      <c r="D464" t="s">
        <v>20</v>
      </c>
      <c r="E464" t="s">
        <v>28</v>
      </c>
      <c r="F464" t="s">
        <v>32</v>
      </c>
      <c r="G464" t="s">
        <v>23</v>
      </c>
      <c r="I464" s="4">
        <v>44666</v>
      </c>
      <c r="J464" t="s">
        <v>24</v>
      </c>
      <c r="K464" s="10">
        <v>2.35E-2</v>
      </c>
      <c r="L464" s="7">
        <v>7.0000000000000007E-2</v>
      </c>
      <c r="M464" s="29"/>
    </row>
    <row r="465" spans="1:13" x14ac:dyDescent="0.25">
      <c r="A465" t="s">
        <v>122</v>
      </c>
      <c r="B465" t="s">
        <v>85</v>
      </c>
      <c r="C465" s="4">
        <v>44469</v>
      </c>
      <c r="D465" t="s">
        <v>20</v>
      </c>
      <c r="E465" t="s">
        <v>28</v>
      </c>
      <c r="F465" t="s">
        <v>32</v>
      </c>
      <c r="G465" t="s">
        <v>23</v>
      </c>
      <c r="I465" s="4">
        <v>45031</v>
      </c>
      <c r="J465" t="s">
        <v>24</v>
      </c>
      <c r="K465" s="10">
        <v>2.35E-2</v>
      </c>
      <c r="L465" s="7">
        <v>7.0000000000000007E-2</v>
      </c>
      <c r="M465" s="29"/>
    </row>
    <row r="466" spans="1:13" x14ac:dyDescent="0.25">
      <c r="A466" t="s">
        <v>122</v>
      </c>
      <c r="B466" t="s">
        <v>85</v>
      </c>
      <c r="C466" s="4">
        <v>44469</v>
      </c>
      <c r="D466" t="s">
        <v>20</v>
      </c>
      <c r="E466" t="s">
        <v>33</v>
      </c>
      <c r="F466" t="s">
        <v>33</v>
      </c>
      <c r="G466" t="s">
        <v>23</v>
      </c>
      <c r="I466" s="4">
        <v>43983</v>
      </c>
      <c r="J466" t="s">
        <v>30</v>
      </c>
      <c r="K466" s="10">
        <v>5.5E-2</v>
      </c>
      <c r="L466" s="10">
        <v>5.5E-2</v>
      </c>
      <c r="M466" s="29"/>
    </row>
    <row r="467" spans="1:13" x14ac:dyDescent="0.25">
      <c r="A467" t="s">
        <v>123</v>
      </c>
      <c r="B467" t="s">
        <v>85</v>
      </c>
      <c r="C467" s="4">
        <v>44469</v>
      </c>
      <c r="D467" t="s">
        <v>20</v>
      </c>
      <c r="E467" t="s">
        <v>35</v>
      </c>
      <c r="F467" t="s">
        <v>35</v>
      </c>
      <c r="G467" t="s">
        <v>34</v>
      </c>
      <c r="I467" s="4">
        <v>44002</v>
      </c>
      <c r="J467" t="s">
        <v>30</v>
      </c>
      <c r="K467" s="10">
        <v>6.5000000000000002E-2</v>
      </c>
      <c r="L467" s="10">
        <v>6.5000000000000002E-2</v>
      </c>
      <c r="M467" s="29"/>
    </row>
    <row r="468" spans="1:13" x14ac:dyDescent="0.25">
      <c r="A468" t="s">
        <v>124</v>
      </c>
      <c r="B468" t="s">
        <v>85</v>
      </c>
      <c r="C468" s="4">
        <v>44469</v>
      </c>
      <c r="D468" t="s">
        <v>20</v>
      </c>
      <c r="E468" t="s">
        <v>35</v>
      </c>
      <c r="F468" t="s">
        <v>35</v>
      </c>
      <c r="G468" t="s">
        <v>34</v>
      </c>
      <c r="I468" s="4">
        <v>46285</v>
      </c>
      <c r="J468" t="s">
        <v>30</v>
      </c>
      <c r="K468" s="10">
        <v>6.5000000000000002E-2</v>
      </c>
      <c r="L468" s="10">
        <v>6.5000000000000002E-2</v>
      </c>
      <c r="M468" s="29"/>
    </row>
    <row r="469" spans="1:13" x14ac:dyDescent="0.25">
      <c r="A469" t="s">
        <v>124</v>
      </c>
      <c r="B469" t="s">
        <v>85</v>
      </c>
      <c r="C469" s="4">
        <v>44469</v>
      </c>
      <c r="D469" t="s">
        <v>20</v>
      </c>
      <c r="E469" t="s">
        <v>35</v>
      </c>
      <c r="F469" t="s">
        <v>35</v>
      </c>
      <c r="G469" t="s">
        <v>34</v>
      </c>
      <c r="I469" s="4">
        <v>47016</v>
      </c>
      <c r="J469" t="s">
        <v>30</v>
      </c>
      <c r="K469" s="10">
        <v>5.8749999999999997E-2</v>
      </c>
      <c r="L469" s="10">
        <v>5.8749999999999997E-2</v>
      </c>
      <c r="M469" s="29"/>
    </row>
    <row r="470" spans="1:13" x14ac:dyDescent="0.25">
      <c r="A470" t="s">
        <v>124</v>
      </c>
      <c r="B470" t="s">
        <v>85</v>
      </c>
      <c r="C470" s="4">
        <v>44469</v>
      </c>
      <c r="D470" t="s">
        <v>20</v>
      </c>
      <c r="E470" t="s">
        <v>36</v>
      </c>
      <c r="F470" t="s">
        <v>36</v>
      </c>
      <c r="G470" t="s">
        <v>34</v>
      </c>
      <c r="I470" s="4">
        <v>44348</v>
      </c>
      <c r="J470" t="s">
        <v>37</v>
      </c>
      <c r="K470" s="12">
        <v>0.02</v>
      </c>
      <c r="L470" s="7">
        <v>2.5000000000000001E-2</v>
      </c>
      <c r="M470" s="29"/>
    </row>
    <row r="471" spans="1:13" x14ac:dyDescent="0.25">
      <c r="A471" t="s">
        <v>125</v>
      </c>
      <c r="B471" t="s">
        <v>85</v>
      </c>
      <c r="C471" s="4">
        <v>44469</v>
      </c>
      <c r="D471" t="s">
        <v>20</v>
      </c>
      <c r="E471" t="s">
        <v>36</v>
      </c>
      <c r="F471" t="s">
        <v>36</v>
      </c>
      <c r="G471" t="s">
        <v>34</v>
      </c>
      <c r="I471" s="4">
        <v>44348</v>
      </c>
      <c r="J471" t="s">
        <v>37</v>
      </c>
      <c r="K471" s="12">
        <v>0.02</v>
      </c>
      <c r="L471" s="7">
        <v>2.5000000000000001E-2</v>
      </c>
      <c r="M471" s="29"/>
    </row>
    <row r="472" spans="1:13" x14ac:dyDescent="0.25">
      <c r="A472" t="s">
        <v>125</v>
      </c>
      <c r="B472" t="s">
        <v>85</v>
      </c>
      <c r="C472" s="4">
        <v>44469</v>
      </c>
      <c r="D472" t="s">
        <v>20</v>
      </c>
      <c r="E472" t="s">
        <v>36</v>
      </c>
      <c r="F472" t="s">
        <v>36</v>
      </c>
      <c r="G472" t="s">
        <v>34</v>
      </c>
      <c r="I472" s="4">
        <v>44713</v>
      </c>
      <c r="J472" t="s">
        <v>37</v>
      </c>
      <c r="K472" s="12">
        <v>0.02</v>
      </c>
      <c r="L472" s="7">
        <v>2.5000000000000001E-2</v>
      </c>
      <c r="M472" s="29"/>
    </row>
    <row r="473" spans="1:13" x14ac:dyDescent="0.25">
      <c r="A473" t="s">
        <v>125</v>
      </c>
      <c r="B473" t="s">
        <v>85</v>
      </c>
      <c r="C473" s="4">
        <v>44469</v>
      </c>
      <c r="D473" t="s">
        <v>20</v>
      </c>
      <c r="E473" t="s">
        <v>28</v>
      </c>
      <c r="F473" t="s">
        <v>39</v>
      </c>
      <c r="G473" t="s">
        <v>34</v>
      </c>
      <c r="I473" s="4">
        <v>43983</v>
      </c>
      <c r="J473" t="s">
        <v>30</v>
      </c>
      <c r="K473" s="10">
        <v>6.5000000000000002E-2</v>
      </c>
      <c r="L473" s="10">
        <v>6.5000000000000002E-2</v>
      </c>
      <c r="M473" s="29"/>
    </row>
    <row r="474" spans="1:13" x14ac:dyDescent="0.25">
      <c r="A474" t="s">
        <v>126</v>
      </c>
      <c r="B474" t="s">
        <v>85</v>
      </c>
      <c r="C474" s="4">
        <v>44469</v>
      </c>
      <c r="D474" t="s">
        <v>20</v>
      </c>
      <c r="E474" t="s">
        <v>28</v>
      </c>
      <c r="F474" t="s">
        <v>28</v>
      </c>
      <c r="G474" t="s">
        <v>34</v>
      </c>
      <c r="I474" s="4">
        <v>43983</v>
      </c>
      <c r="J474" t="s">
        <v>30</v>
      </c>
      <c r="K474" s="10">
        <v>6.5000000000000002E-2</v>
      </c>
      <c r="L474" s="10">
        <v>6.5000000000000002E-2</v>
      </c>
      <c r="M474" s="29"/>
    </row>
    <row r="475" spans="1:13" x14ac:dyDescent="0.25">
      <c r="A475" t="s">
        <v>127</v>
      </c>
      <c r="B475" t="s">
        <v>85</v>
      </c>
      <c r="C475" s="4">
        <v>44469</v>
      </c>
      <c r="D475" t="s">
        <v>20</v>
      </c>
      <c r="E475" t="s">
        <v>28</v>
      </c>
      <c r="F475" t="s">
        <v>40</v>
      </c>
      <c r="G475" t="s">
        <v>34</v>
      </c>
      <c r="I475" s="4">
        <v>43983</v>
      </c>
      <c r="J475" t="s">
        <v>30</v>
      </c>
      <c r="K475" s="10">
        <v>6.5000000000000002E-2</v>
      </c>
      <c r="L475" s="10">
        <v>6.5000000000000002E-2</v>
      </c>
      <c r="M475" s="29"/>
    </row>
    <row r="476" spans="1:13" x14ac:dyDescent="0.25">
      <c r="A476" t="s">
        <v>128</v>
      </c>
      <c r="B476" t="s">
        <v>85</v>
      </c>
      <c r="C476" s="4">
        <v>44469</v>
      </c>
      <c r="D476" t="s">
        <v>20</v>
      </c>
      <c r="E476" t="s">
        <v>28</v>
      </c>
      <c r="F476" t="s">
        <v>40</v>
      </c>
      <c r="G476" t="s">
        <v>34</v>
      </c>
      <c r="I476" s="4">
        <v>44348</v>
      </c>
      <c r="J476" t="s">
        <v>30</v>
      </c>
      <c r="K476" s="10">
        <v>6.5000000000000002E-2</v>
      </c>
      <c r="L476" s="10">
        <v>6.5000000000000002E-2</v>
      </c>
      <c r="M476" s="29"/>
    </row>
    <row r="477" spans="1:13" x14ac:dyDescent="0.25">
      <c r="A477" t="s">
        <v>128</v>
      </c>
      <c r="B477" t="s">
        <v>85</v>
      </c>
      <c r="C477" s="4">
        <v>44469</v>
      </c>
      <c r="D477" t="s">
        <v>20</v>
      </c>
      <c r="E477" t="s">
        <v>28</v>
      </c>
      <c r="F477" t="s">
        <v>40</v>
      </c>
      <c r="G477" t="s">
        <v>34</v>
      </c>
      <c r="I477" s="4">
        <v>44713</v>
      </c>
      <c r="J477" t="s">
        <v>30</v>
      </c>
      <c r="K477" s="10">
        <v>6.5000000000000002E-2</v>
      </c>
      <c r="L477" s="10">
        <v>6.5000000000000002E-2</v>
      </c>
      <c r="M477" s="29"/>
    </row>
    <row r="478" spans="1:13" x14ac:dyDescent="0.25">
      <c r="A478" t="s">
        <v>128</v>
      </c>
      <c r="B478" t="s">
        <v>85</v>
      </c>
      <c r="C478" s="4">
        <v>44469</v>
      </c>
      <c r="D478" t="s">
        <v>20</v>
      </c>
      <c r="E478" t="s">
        <v>28</v>
      </c>
      <c r="F478" t="s">
        <v>40</v>
      </c>
      <c r="G478" t="s">
        <v>34</v>
      </c>
      <c r="I478" s="4">
        <v>45078</v>
      </c>
      <c r="J478" t="s">
        <v>30</v>
      </c>
      <c r="K478" s="10">
        <v>6.5000000000000002E-2</v>
      </c>
      <c r="L478" s="10">
        <v>6.5000000000000002E-2</v>
      </c>
      <c r="M478" s="29"/>
    </row>
    <row r="479" spans="1:13" x14ac:dyDescent="0.25">
      <c r="A479" t="s">
        <v>128</v>
      </c>
      <c r="B479" t="s">
        <v>85</v>
      </c>
      <c r="C479" s="4">
        <v>44469</v>
      </c>
      <c r="D479" t="s">
        <v>20</v>
      </c>
      <c r="E479" t="s">
        <v>28</v>
      </c>
      <c r="F479" t="s">
        <v>40</v>
      </c>
      <c r="G479" t="s">
        <v>34</v>
      </c>
      <c r="I479" s="4">
        <v>45444</v>
      </c>
      <c r="J479" t="s">
        <v>30</v>
      </c>
      <c r="K479" s="10">
        <v>6.5000000000000002E-2</v>
      </c>
      <c r="L479" s="10">
        <v>6.5000000000000002E-2</v>
      </c>
      <c r="M479" s="29"/>
    </row>
    <row r="480" spans="1:13" x14ac:dyDescent="0.25">
      <c r="A480" t="s">
        <v>128</v>
      </c>
      <c r="B480" t="s">
        <v>85</v>
      </c>
      <c r="C480" s="4">
        <v>44469</v>
      </c>
      <c r="D480" t="s">
        <v>20</v>
      </c>
      <c r="E480" t="s">
        <v>28</v>
      </c>
      <c r="F480" t="s">
        <v>40</v>
      </c>
      <c r="G480" t="s">
        <v>34</v>
      </c>
      <c r="I480" s="4">
        <v>45809</v>
      </c>
      <c r="J480" t="s">
        <v>30</v>
      </c>
      <c r="K480" s="10">
        <v>6.5000000000000002E-2</v>
      </c>
      <c r="L480" s="10">
        <v>6.5000000000000002E-2</v>
      </c>
      <c r="M480" s="29"/>
    </row>
    <row r="481" spans="1:13" x14ac:dyDescent="0.25">
      <c r="A481" t="s">
        <v>128</v>
      </c>
      <c r="B481" t="s">
        <v>85</v>
      </c>
      <c r="C481" s="4">
        <v>44469</v>
      </c>
      <c r="D481" t="s">
        <v>20</v>
      </c>
      <c r="E481" t="s">
        <v>28</v>
      </c>
      <c r="F481" t="s">
        <v>40</v>
      </c>
      <c r="G481" t="s">
        <v>34</v>
      </c>
      <c r="I481" s="4">
        <v>46174</v>
      </c>
      <c r="J481" t="s">
        <v>30</v>
      </c>
      <c r="K481" s="10">
        <v>6.5000000000000002E-2</v>
      </c>
      <c r="L481" s="10">
        <v>6.5000000000000002E-2</v>
      </c>
      <c r="M481" s="29"/>
    </row>
    <row r="482" spans="1:13" x14ac:dyDescent="0.25">
      <c r="A482" t="s">
        <v>128</v>
      </c>
      <c r="B482" t="s">
        <v>85</v>
      </c>
      <c r="C482" s="4">
        <v>44469</v>
      </c>
      <c r="D482" t="s">
        <v>20</v>
      </c>
      <c r="E482" t="s">
        <v>28</v>
      </c>
      <c r="F482" t="s">
        <v>40</v>
      </c>
      <c r="G482" t="s">
        <v>34</v>
      </c>
      <c r="I482" s="4">
        <v>46539</v>
      </c>
      <c r="J482" t="s">
        <v>30</v>
      </c>
      <c r="K482" s="10">
        <v>6.5000000000000002E-2</v>
      </c>
      <c r="L482" s="10">
        <v>6.5000000000000002E-2</v>
      </c>
      <c r="M482" s="29"/>
    </row>
    <row r="483" spans="1:13" x14ac:dyDescent="0.25">
      <c r="A483" t="s">
        <v>128</v>
      </c>
      <c r="B483" t="s">
        <v>85</v>
      </c>
      <c r="C483" s="4">
        <v>44469</v>
      </c>
      <c r="D483" t="s">
        <v>20</v>
      </c>
      <c r="E483" t="s">
        <v>28</v>
      </c>
      <c r="F483" t="s">
        <v>40</v>
      </c>
      <c r="G483" t="s">
        <v>34</v>
      </c>
      <c r="I483" s="4">
        <v>46905</v>
      </c>
      <c r="J483" t="s">
        <v>30</v>
      </c>
      <c r="K483" s="10">
        <v>6.5000000000000002E-2</v>
      </c>
      <c r="L483" s="10">
        <v>6.5000000000000002E-2</v>
      </c>
      <c r="M483" s="29"/>
    </row>
    <row r="484" spans="1:13" x14ac:dyDescent="0.25">
      <c r="A484" t="s">
        <v>128</v>
      </c>
      <c r="B484" t="s">
        <v>85</v>
      </c>
      <c r="C484" s="4">
        <v>44469</v>
      </c>
      <c r="D484" t="s">
        <v>20</v>
      </c>
      <c r="E484" t="s">
        <v>28</v>
      </c>
      <c r="F484" t="s">
        <v>40</v>
      </c>
      <c r="G484" t="s">
        <v>34</v>
      </c>
      <c r="I484" s="4">
        <v>47270</v>
      </c>
      <c r="J484" t="s">
        <v>30</v>
      </c>
      <c r="K484" s="10">
        <v>6.5000000000000002E-2</v>
      </c>
      <c r="L484" s="10">
        <v>6.5000000000000002E-2</v>
      </c>
      <c r="M484" s="29"/>
    </row>
    <row r="485" spans="1:13" x14ac:dyDescent="0.25">
      <c r="A485" t="s">
        <v>128</v>
      </c>
      <c r="B485" t="s">
        <v>85</v>
      </c>
      <c r="C485" s="4">
        <v>44469</v>
      </c>
      <c r="D485" t="s">
        <v>20</v>
      </c>
      <c r="G485" t="s">
        <v>34</v>
      </c>
      <c r="M485" s="29"/>
    </row>
  </sheetData>
  <autoFilter ref="A1:T484" xr:uid="{120C850A-8DD6-4E43-AB67-A1F1E4494240}">
    <filterColumn colId="2">
      <filters>
        <dateGroupItem year="2021" dateTimeGrouping="year"/>
        <dateGroupItem year="2020" dateTimeGrouping="year"/>
      </filters>
    </filterColumn>
    <filterColumn colId="3">
      <filters>
        <filter val="Minerv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Santos Hilbert</dc:creator>
  <cp:lastModifiedBy>Bruno Nesrallah Forte</cp:lastModifiedBy>
  <dcterms:created xsi:type="dcterms:W3CDTF">2022-05-26T18:34:00Z</dcterms:created>
  <dcterms:modified xsi:type="dcterms:W3CDTF">2022-06-01T15:12:08Z</dcterms:modified>
</cp:coreProperties>
</file>