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olino\Desktop\"/>
    </mc:Choice>
  </mc:AlternateContent>
  <xr:revisionPtr revIDLastSave="0" documentId="13_ncr:1_{7CD3DFAF-4B66-4100-BDEE-0263928E12D4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Menu" sheetId="16" r:id="rId1"/>
    <sheet name="Indicadores" sheetId="15" r:id="rId2"/>
    <sheet name="VI" sheetId="3" r:id="rId3"/>
    <sheet name="Beta" sheetId="4" r:id="rId4"/>
    <sheet name="Fluxo de caixa" sheetId="5" r:id="rId5"/>
    <sheet name="Previsão " sheetId="13" r:id="rId6"/>
    <sheet name="KD KI" sheetId="6" r:id="rId7"/>
    <sheet name="WACC" sheetId="7" r:id="rId8"/>
    <sheet name="Valor de mercado" sheetId="8" r:id="rId9"/>
    <sheet name="Múltiplos" sheetId="14" r:id="rId10"/>
    <sheet name="Resumo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9" l="1"/>
  <c r="E7" i="14"/>
  <c r="H11" i="14"/>
  <c r="H10" i="14"/>
  <c r="E4" i="14"/>
  <c r="E5" i="14"/>
  <c r="H5" i="14"/>
  <c r="E8" i="14"/>
  <c r="E9" i="14" s="1"/>
  <c r="J5" i="14"/>
  <c r="I8" i="14"/>
  <c r="I7" i="14"/>
  <c r="I6" i="14"/>
  <c r="H6" i="14"/>
  <c r="I5" i="14"/>
  <c r="H7" i="14"/>
  <c r="B51" i="15"/>
  <c r="B50" i="15"/>
  <c r="B49" i="15"/>
  <c r="B48" i="15"/>
  <c r="R27" i="15"/>
  <c r="S27" i="15"/>
  <c r="T27" i="15"/>
  <c r="U27" i="15"/>
  <c r="V27" i="15"/>
  <c r="W27" i="15"/>
  <c r="X27" i="15"/>
  <c r="Y27" i="15"/>
  <c r="Q27" i="15"/>
  <c r="H18" i="5"/>
  <c r="E4" i="9"/>
  <c r="B27" i="15"/>
  <c r="C27" i="15"/>
  <c r="D27" i="15"/>
  <c r="E27" i="15"/>
  <c r="F27" i="15"/>
  <c r="G27" i="15"/>
  <c r="I27" i="15"/>
  <c r="J27" i="15"/>
  <c r="K27" i="15"/>
  <c r="L27" i="15"/>
  <c r="H27" i="15"/>
  <c r="R7" i="15"/>
  <c r="S7" i="15"/>
  <c r="T7" i="15"/>
  <c r="U7" i="15"/>
  <c r="V7" i="15"/>
  <c r="W7" i="15"/>
  <c r="X7" i="15"/>
  <c r="Y7" i="15"/>
  <c r="Z7" i="15"/>
  <c r="AA7" i="15"/>
  <c r="Q7" i="15"/>
  <c r="M6" i="15"/>
  <c r="G16" i="8"/>
  <c r="G18" i="8" s="1"/>
  <c r="G20" i="8" s="1"/>
  <c r="E7" i="9" s="1"/>
  <c r="G15" i="8"/>
  <c r="M27" i="15" l="1"/>
  <c r="AB7" i="15"/>
  <c r="E9" i="7" l="1"/>
  <c r="G3" i="7"/>
  <c r="G42" i="4"/>
  <c r="F8" i="13"/>
  <c r="F9" i="13"/>
  <c r="F10" i="13"/>
  <c r="F11" i="13"/>
  <c r="F12" i="13"/>
  <c r="E12" i="8" l="1"/>
  <c r="G11" i="8"/>
  <c r="G10" i="8"/>
  <c r="H12" i="13"/>
  <c r="H11" i="13"/>
  <c r="G11" i="13"/>
  <c r="H10" i="13"/>
  <c r="H9" i="13"/>
  <c r="G8" i="13"/>
  <c r="G12" i="13"/>
  <c r="G10" i="13"/>
  <c r="G9" i="13"/>
  <c r="H8" i="13"/>
  <c r="G13" i="8" l="1"/>
  <c r="E5" i="6" l="1"/>
  <c r="E7" i="6" s="1"/>
  <c r="E4" i="7"/>
  <c r="E3" i="7" l="1"/>
  <c r="E5" i="7" s="1"/>
  <c r="F42" i="4" l="1"/>
  <c r="K8" i="4" s="1"/>
  <c r="K4" i="4" s="1"/>
  <c r="E7" i="7" s="1"/>
  <c r="E10" i="7" s="1"/>
  <c r="H9" i="5" s="1"/>
  <c r="N6" i="5" s="1"/>
  <c r="L6" i="5" l="1"/>
  <c r="K6" i="5"/>
  <c r="H15" i="5"/>
  <c r="H13" i="5" s="1"/>
  <c r="O6" i="5"/>
  <c r="M6" i="5"/>
  <c r="J9" i="3"/>
  <c r="H11" i="5" l="1"/>
  <c r="H17" i="5" s="1"/>
  <c r="H20" i="5" s="1"/>
  <c r="E6" i="9" s="1"/>
  <c r="E8" i="3"/>
  <c r="G14" i="3" s="1"/>
  <c r="I3" i="7"/>
  <c r="E5" i="9" s="1"/>
  <c r="E10" i="3"/>
  <c r="H14" i="3" s="1"/>
  <c r="F4" i="3"/>
  <c r="F14" i="3" s="1"/>
  <c r="J14" i="3" l="1"/>
  <c r="L14" i="3" s="1"/>
  <c r="N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Patolino</author>
  </authors>
  <commentList>
    <comment ref="M14" authorId="0" shapeId="0" xr:uid="{E0E3191A-E4E9-4EC0-AE76-E88042AA559C}">
      <text>
        <r>
          <rPr>
            <b/>
            <sz val="9"/>
            <color indexed="81"/>
            <rFont val="Segoe UI"/>
            <charset val="1"/>
          </rPr>
          <t>Patolino:</t>
        </r>
        <r>
          <rPr>
            <sz val="9"/>
            <color indexed="81"/>
            <rFont val="Segoe UI"/>
            <charset val="1"/>
          </rPr>
          <t xml:space="preserve">
Dia 09/12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Souza, Bruno</author>
  </authors>
  <commentList>
    <comment ref="E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Souza, Bruno:</t>
        </r>
        <r>
          <rPr>
            <sz val="9"/>
            <color indexed="81"/>
            <rFont val="Tahoma"/>
            <family val="2"/>
          </rPr>
          <t xml:space="preserve">
Custo de capital de terceiros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Souza, Bruno</author>
  </authors>
  <commentList>
    <comment ref="I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Souza, Bruno:</t>
        </r>
        <r>
          <rPr>
            <sz val="9"/>
            <color indexed="81"/>
            <rFont val="Tahoma"/>
            <family val="2"/>
          </rPr>
          <t xml:space="preserve">
Valor íntriseco da ação</t>
        </r>
      </text>
    </comment>
  </commentList>
</comments>
</file>

<file path=xl/sharedStrings.xml><?xml version="1.0" encoding="utf-8"?>
<sst xmlns="http://schemas.openxmlformats.org/spreadsheetml/2006/main" count="127" uniqueCount="109">
  <si>
    <t>P/L:</t>
  </si>
  <si>
    <t>Índice</t>
  </si>
  <si>
    <t>P/VPA:</t>
  </si>
  <si>
    <t>VPA:</t>
  </si>
  <si>
    <t>LPA:</t>
  </si>
  <si>
    <t>Valor Intríseco</t>
  </si>
  <si>
    <t>=</t>
  </si>
  <si>
    <t>Cotação atual</t>
  </si>
  <si>
    <t>Patrimônio Líquido</t>
  </si>
  <si>
    <t>Ações</t>
  </si>
  <si>
    <t>Lucro líquido</t>
  </si>
  <si>
    <t>UPSIDE</t>
  </si>
  <si>
    <t>Valor estimado da ação</t>
  </si>
  <si>
    <t>Data</t>
  </si>
  <si>
    <t>IBOV</t>
  </si>
  <si>
    <t>Dados do https://br.investing.com/</t>
  </si>
  <si>
    <t>Média</t>
  </si>
  <si>
    <t>SAPR4</t>
  </si>
  <si>
    <t>CAPM</t>
  </si>
  <si>
    <t>RF</t>
  </si>
  <si>
    <t>RM</t>
  </si>
  <si>
    <t>Beta</t>
  </si>
  <si>
    <t>Risco País</t>
  </si>
  <si>
    <t> Saldo Final de Caixa e Equivalentes </t>
  </si>
  <si>
    <t>Ano</t>
  </si>
  <si>
    <t>2022E</t>
  </si>
  <si>
    <t>2023E</t>
  </si>
  <si>
    <t>2024E</t>
  </si>
  <si>
    <t>2025E</t>
  </si>
  <si>
    <t>WACC</t>
  </si>
  <si>
    <t>Valor da empresa</t>
  </si>
  <si>
    <t>Número de ações</t>
  </si>
  <si>
    <t>Valor por ação</t>
  </si>
  <si>
    <t>Valor da Sanepar (explícito)</t>
  </si>
  <si>
    <t>Valor da Sanepar (residual)</t>
  </si>
  <si>
    <t>Valor Futuro (VF)</t>
  </si>
  <si>
    <t>Prova real</t>
  </si>
  <si>
    <t>KI</t>
  </si>
  <si>
    <t>Custo capital próprio</t>
  </si>
  <si>
    <t>Custo capital terceiro</t>
  </si>
  <si>
    <t>KD</t>
  </si>
  <si>
    <t>WACC (Custo Médio Ponderado de Capital)</t>
  </si>
  <si>
    <t xml:space="preserve">Fluxo de caixa futuro </t>
  </si>
  <si>
    <t>Cotas</t>
  </si>
  <si>
    <t>Valor</t>
  </si>
  <si>
    <t>ON</t>
  </si>
  <si>
    <t>Valor do mercado</t>
  </si>
  <si>
    <t>Dividas</t>
  </si>
  <si>
    <t>PN</t>
  </si>
  <si>
    <t>Total</t>
  </si>
  <si>
    <t>Valor de mercado</t>
  </si>
  <si>
    <t>Modelo de GRAHAM</t>
  </si>
  <si>
    <t>Risco Brasil dado do JP Morgan dia 06/12/2022</t>
  </si>
  <si>
    <t>2026E</t>
  </si>
  <si>
    <t>Premissas: O risco de mercado, fiz a partir da média da variação dos 3 anos da cotação da Sanepar/ O risco free foi utilizado a taxa selic, de vez o risco país / O Beta foi calculado a partir do gráfico de dispersão do índice Bovespa x SAPR4.</t>
  </si>
  <si>
    <t>Previsão( Saldo Final de Caixa e Equivalentes )</t>
  </si>
  <si>
    <t>Limite de Confiança Inferior( Saldo Final de Caixa e Equivalentes )</t>
  </si>
  <si>
    <t>Limite de Confiança Superior( Saldo Final de Caixa e Equivalentes )</t>
  </si>
  <si>
    <t>Premissa: As projeções são utilizadas as mesmas do excel / Optei por escolher a projeção mediana, pois o estado do Paraná está saindo de uma crise hídrica (ponto positivo), os juros no Brasil estão elevados (ponto negativo) e pelo risco estatal de congelar os aumentos de preço (ponto negativo) / A projeção é de 5 anos.</t>
  </si>
  <si>
    <t>Despesas financeiras</t>
  </si>
  <si>
    <t>Dados da despesa financeira e de empréstimos foram retiradas do IRT de 2021 disponível no site da companhia/ O IR é de 34%</t>
  </si>
  <si>
    <t>Empréstimos, Financiamentos, debêntures e arredamentos</t>
  </si>
  <si>
    <t>Dívida líquida</t>
  </si>
  <si>
    <t>O PL e a dívida, foram tcoletados do ITR 2021</t>
  </si>
  <si>
    <t>Disponível (caixa+ títulos e valores + contas a receber)</t>
  </si>
  <si>
    <t>Cotação utilizada do dia 30/12/2021</t>
  </si>
  <si>
    <t>Receita líquida (R$1 MM)</t>
  </si>
  <si>
    <t>CAGR de 10 anos</t>
  </si>
  <si>
    <t>Margem bruta</t>
  </si>
  <si>
    <t>Lucro Bruto (R$1 MM)</t>
  </si>
  <si>
    <t>Valuation da Sanepar</t>
  </si>
  <si>
    <t>Não é uma inidicação de compra, apenas um estudo.</t>
  </si>
  <si>
    <t>Receita líquida vem crescendo nos últimos 10 anos, com um CAGR de 301%.</t>
  </si>
  <si>
    <t>Margem bruta muito alta, sendo em média dos 10 anos em 59%.</t>
  </si>
  <si>
    <t>Média da magem bruta em 10 anos</t>
  </si>
  <si>
    <t>EBITDA</t>
  </si>
  <si>
    <t>Margem EBITDA (R$1 MM)</t>
  </si>
  <si>
    <t>Média da magem EBITDA em 10 anos</t>
  </si>
  <si>
    <t>Valor intríseco (Graham)</t>
  </si>
  <si>
    <t>Valor intríseco (PL/ações)</t>
  </si>
  <si>
    <t>Métricas</t>
  </si>
  <si>
    <t>Dívida líquida/EBITDA</t>
  </si>
  <si>
    <t>Dívida líquida (R$1 MM)</t>
  </si>
  <si>
    <t>O grau de endividamento da Sanepar vem caindo ano apôs ano e está saudável.</t>
  </si>
  <si>
    <t>A lucratividade da empresa é muito alta, com uma média de margem EBITDA de 36%.</t>
  </si>
  <si>
    <t>Outros indicadores relevantes</t>
  </si>
  <si>
    <t>LPA</t>
  </si>
  <si>
    <t>VPA</t>
  </si>
  <si>
    <t>P/L</t>
  </si>
  <si>
    <t>ROE</t>
  </si>
  <si>
    <t>A Sanepar é uma empresa lucrativa, com altas margens operacionais, com caixa e baixa dívida.</t>
  </si>
  <si>
    <t>Múltiplo P/L</t>
  </si>
  <si>
    <t>Empresas</t>
  </si>
  <si>
    <t>índice P/L</t>
  </si>
  <si>
    <t>Sanepar (SAPR4)</t>
  </si>
  <si>
    <t>Sabesp (SBSP3)</t>
  </si>
  <si>
    <t>Copasa (CSMG3)</t>
  </si>
  <si>
    <t>Igua Saneamento (IGSN3)</t>
  </si>
  <si>
    <t>-</t>
  </si>
  <si>
    <t>Margem EBITDA</t>
  </si>
  <si>
    <t>Indicadores do 4T21</t>
  </si>
  <si>
    <t>Dívida líquida/Receita líquida</t>
  </si>
  <si>
    <t>CAGR da Receita líquida em 5 anos</t>
  </si>
  <si>
    <t>Nº total de papéis</t>
  </si>
  <si>
    <t>Ebit</t>
  </si>
  <si>
    <t>(x) Múltiplo P/L</t>
  </si>
  <si>
    <t>Mediana</t>
  </si>
  <si>
    <t xml:space="preserve">Comparandos os múltiplos de empresas concorrentes a Sanepar, é perceptível como a empresa é saudável e tem a melhor combinação dos indicadores do que seus pares. O múltiplo P/L deu resultado de R$3,65 como valor da empresa por ação.                                                                                </t>
  </si>
  <si>
    <t>Pela mética de Graham, a ação está barata, podendos ter um upside de 300%. Pela métrica do Patrimônio atual da empresa, também está barata, mas com um baixo upside. O fluxo de caixa futuro de 5 anos nos diz que daqui 5 anos é possível a empresa valer quase 7 vezes mais que atualmente, por efeito do seu caixa ter se fortalecido nos últimos 5 anos, sua dívida estar controlada e com margens de rentabilidade elevadas. O valor de mercado é a unica métrica que nos diz que a ação está cara, portanto o mercado está avaliando a empresa abaixo do que realmente vale, me deixa otimista para acreditar no fluxo de caixa futuro e por fim o múltiplo P/L está condizente com o valor atual da ação. Concluindo, a Sanepar está barata hoje, valendo a pena comprar.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</si>
</sst>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77" formatCode="0.0%"/>
  </numFmts>
  <fonts count="2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EA600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b/>
      <sz val="18"/>
      <color theme="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2">
    <xf numFmtId="0" fontId="0" fillId="0" borderId="0" xfId="0"/>
    <xf numFmtId="0" fontId="2" fillId="0" borderId="2" xfId="0" applyFont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applyNumberFormat="1"/>
    <xf numFmtId="0" fontId="0" fillId="4" borderId="0" xfId="0" applyFill="1" applyAlignment="1">
      <alignment horizontal="center" vertical="center"/>
    </xf>
    <xf numFmtId="9" fontId="0" fillId="4" borderId="0" xfId="2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right" vertical="center" wrapText="1" indent="1" readingOrder="1"/>
    </xf>
    <xf numFmtId="10" fontId="7" fillId="2" borderId="1" xfId="0" applyNumberFormat="1" applyFont="1" applyFill="1" applyBorder="1" applyAlignment="1">
      <alignment horizontal="right" vertical="center" wrapText="1" indent="1" readingOrder="1"/>
    </xf>
    <xf numFmtId="0" fontId="4" fillId="0" borderId="2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0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9" fillId="0" borderId="1" xfId="0" applyFont="1" applyBorder="1"/>
    <xf numFmtId="10" fontId="9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10" fillId="0" borderId="0" xfId="1" applyFont="1" applyAlignment="1">
      <alignment wrapText="1"/>
    </xf>
    <xf numFmtId="164" fontId="10" fillId="0" borderId="0" xfId="1" applyFont="1" applyAlignment="1">
      <alignment horizontal="center" vertical="center"/>
    </xf>
    <xf numFmtId="164" fontId="10" fillId="0" borderId="0" xfId="1" applyFont="1"/>
    <xf numFmtId="164" fontId="0" fillId="0" borderId="0" xfId="0" applyNumberFormat="1"/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9" fontId="0" fillId="0" borderId="0" xfId="2" applyFont="1"/>
    <xf numFmtId="0" fontId="0" fillId="8" borderId="1" xfId="0" applyFill="1" applyBorder="1"/>
    <xf numFmtId="10" fontId="0" fillId="8" borderId="1" xfId="0" applyNumberFormat="1" applyFill="1" applyBorder="1"/>
    <xf numFmtId="0" fontId="8" fillId="0" borderId="0" xfId="0" applyFont="1" applyAlignment="1">
      <alignment horizontal="center" vertical="center"/>
    </xf>
    <xf numFmtId="0" fontId="0" fillId="0" borderId="1" xfId="0" applyBorder="1"/>
    <xf numFmtId="164" fontId="3" fillId="0" borderId="1" xfId="1" applyFont="1" applyBorder="1"/>
    <xf numFmtId="164" fontId="0" fillId="0" borderId="1" xfId="0" applyNumberFormat="1" applyBorder="1"/>
    <xf numFmtId="3" fontId="0" fillId="0" borderId="1" xfId="0" applyNumberFormat="1" applyBorder="1"/>
    <xf numFmtId="164" fontId="3" fillId="0" borderId="0" xfId="1" applyFont="1"/>
    <xf numFmtId="164" fontId="0" fillId="5" borderId="1" xfId="0" applyNumberFormat="1" applyFill="1" applyBorder="1"/>
    <xf numFmtId="164" fontId="3" fillId="0" borderId="1" xfId="1" applyFont="1" applyBorder="1" applyAlignment="1">
      <alignment vertical="center"/>
    </xf>
    <xf numFmtId="164" fontId="0" fillId="0" borderId="1" xfId="1" applyFont="1" applyBorder="1"/>
    <xf numFmtId="16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1" applyFont="1" applyBorder="1"/>
    <xf numFmtId="0" fontId="0" fillId="0" borderId="16" xfId="0" applyBorder="1" applyAlignment="1">
      <alignment horizontal="right"/>
    </xf>
    <xf numFmtId="10" fontId="0" fillId="0" borderId="17" xfId="2" applyNumberFormat="1" applyFont="1" applyBorder="1"/>
    <xf numFmtId="0" fontId="0" fillId="0" borderId="0" xfId="0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3" fontId="17" fillId="2" borderId="0" xfId="0" applyNumberFormat="1" applyFont="1" applyFill="1" applyAlignment="1">
      <alignment horizontal="left" vertical="center" readingOrder="1"/>
    </xf>
    <xf numFmtId="3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readingOrder="1"/>
    </xf>
    <xf numFmtId="0" fontId="18" fillId="0" borderId="2" xfId="0" applyFont="1" applyBorder="1" applyAlignment="1">
      <alignment horizontal="center" vertical="center"/>
    </xf>
    <xf numFmtId="17" fontId="18" fillId="2" borderId="1" xfId="0" applyNumberFormat="1" applyFont="1" applyFill="1" applyBorder="1" applyAlignment="1">
      <alignment horizontal="left" vertical="center" indent="1" readingOrder="1"/>
    </xf>
    <xf numFmtId="17" fontId="18" fillId="5" borderId="2" xfId="0" applyNumberFormat="1" applyFont="1" applyFill="1" applyBorder="1" applyAlignment="1">
      <alignment horizontal="left" vertical="center" indent="1" readingOrder="1"/>
    </xf>
    <xf numFmtId="10" fontId="7" fillId="2" borderId="2" xfId="0" applyNumberFormat="1" applyFont="1" applyFill="1" applyBorder="1" applyAlignment="1">
      <alignment horizontal="right" vertical="center" wrapText="1" indent="1" readingOrder="1"/>
    </xf>
    <xf numFmtId="2" fontId="0" fillId="0" borderId="0" xfId="0" applyNumberFormat="1"/>
    <xf numFmtId="0" fontId="0" fillId="5" borderId="1" xfId="0" applyFill="1" applyBorder="1" applyAlignment="1">
      <alignment horizontal="center" vertical="center"/>
    </xf>
    <xf numFmtId="164" fontId="0" fillId="5" borderId="1" xfId="1" applyFont="1" applyFill="1" applyBorder="1"/>
    <xf numFmtId="9" fontId="0" fillId="0" borderId="1" xfId="2" applyFont="1" applyBorder="1"/>
    <xf numFmtId="0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9" fontId="0" fillId="0" borderId="0" xfId="2" applyFont="1" applyFill="1" applyBorder="1" applyAlignment="1">
      <alignment vertical="center"/>
    </xf>
    <xf numFmtId="0" fontId="0" fillId="9" borderId="0" xfId="0" applyFill="1"/>
    <xf numFmtId="10" fontId="0" fillId="0" borderId="1" xfId="2" applyNumberFormat="1" applyFont="1" applyBorder="1"/>
    <xf numFmtId="0" fontId="0" fillId="0" borderId="4" xfId="0" applyBorder="1"/>
    <xf numFmtId="10" fontId="0" fillId="0" borderId="1" xfId="0" applyNumberFormat="1" applyBorder="1"/>
    <xf numFmtId="0" fontId="0" fillId="0" borderId="18" xfId="0" applyBorder="1"/>
    <xf numFmtId="10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8" borderId="20" xfId="0" applyFill="1" applyBorder="1"/>
    <xf numFmtId="164" fontId="0" fillId="8" borderId="21" xfId="0" applyNumberFormat="1" applyFill="1" applyBorder="1"/>
    <xf numFmtId="164" fontId="0" fillId="8" borderId="21" xfId="1" applyFont="1" applyFill="1" applyBorder="1"/>
    <xf numFmtId="164" fontId="0" fillId="0" borderId="21" xfId="0" applyNumberFormat="1" applyBorder="1"/>
    <xf numFmtId="3" fontId="0" fillId="0" borderId="21" xfId="0" applyNumberFormat="1" applyBorder="1"/>
    <xf numFmtId="0" fontId="0" fillId="0" borderId="22" xfId="0" applyBorder="1"/>
    <xf numFmtId="164" fontId="0" fillId="0" borderId="23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0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1" applyFont="1"/>
    <xf numFmtId="177" fontId="0" fillId="0" borderId="1" xfId="2" applyNumberFormat="1" applyFon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2" fontId="0" fillId="7" borderId="1" xfId="0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77" fontId="0" fillId="7" borderId="1" xfId="2" applyNumberFormat="1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177" fontId="22" fillId="0" borderId="1" xfId="2" applyNumberFormat="1" applyFont="1" applyBorder="1" applyAlignment="1">
      <alignment horizontal="center" vertical="center"/>
    </xf>
    <xf numFmtId="2" fontId="24" fillId="7" borderId="1" xfId="0" applyNumberFormat="1" applyFont="1" applyFill="1" applyBorder="1" applyAlignment="1">
      <alignment horizontal="center" vertical="center"/>
    </xf>
    <xf numFmtId="9" fontId="24" fillId="7" borderId="1" xfId="2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1" xfId="1" applyNumberFormat="1" applyFont="1" applyBorder="1"/>
    <xf numFmtId="0" fontId="0" fillId="5" borderId="1" xfId="0" applyFill="1" applyBorder="1"/>
    <xf numFmtId="164" fontId="0" fillId="10" borderId="0" xfId="0" applyNumberFormat="1" applyFill="1"/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Indicadores!$A$6</c:f>
              <c:strCache>
                <c:ptCount val="1"/>
                <c:pt idx="0">
                  <c:v>Receita líquida (R$1 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Indicadores!$B$5:$L$5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Indicadores!$B$6:$L$6</c:f>
              <c:numCache>
                <c:formatCode>General</c:formatCode>
                <c:ptCount val="11"/>
                <c:pt idx="0">
                  <c:v>1742</c:v>
                </c:pt>
                <c:pt idx="1">
                  <c:v>2123</c:v>
                </c:pt>
                <c:pt idx="2">
                  <c:v>2370</c:v>
                </c:pt>
                <c:pt idx="3">
                  <c:v>2617</c:v>
                </c:pt>
                <c:pt idx="4">
                  <c:v>2971</c:v>
                </c:pt>
                <c:pt idx="5">
                  <c:v>3478</c:v>
                </c:pt>
                <c:pt idx="6">
                  <c:v>3869</c:v>
                </c:pt>
                <c:pt idx="7">
                  <c:v>4162</c:v>
                </c:pt>
                <c:pt idx="8">
                  <c:v>4723</c:v>
                </c:pt>
                <c:pt idx="9">
                  <c:v>4800</c:v>
                </c:pt>
                <c:pt idx="10">
                  <c:v>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6-4203-B58A-36FE21840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992024"/>
        <c:axId val="614987104"/>
      </c:barChart>
      <c:catAx>
        <c:axId val="6149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987104"/>
        <c:crosses val="autoZero"/>
        <c:auto val="1"/>
        <c:lblAlgn val="ctr"/>
        <c:lblOffset val="100"/>
        <c:noMultiLvlLbl val="0"/>
      </c:catAx>
      <c:valAx>
        <c:axId val="614987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99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</a:t>
            </a:r>
            <a:r>
              <a:rPr lang="pt-BR" baseline="0"/>
              <a:t> bruto x Margem bruta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Indicadores!$P$6</c:f>
              <c:strCache>
                <c:ptCount val="1"/>
                <c:pt idx="0">
                  <c:v>Lucro Bruto (R$1 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Indicadores!$Q$5:$AA$5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Indicadores!$Q$6:$AA$6</c:f>
              <c:numCache>
                <c:formatCode>General</c:formatCode>
                <c:ptCount val="11"/>
                <c:pt idx="0">
                  <c:v>1015</c:v>
                </c:pt>
                <c:pt idx="1">
                  <c:v>1304</c:v>
                </c:pt>
                <c:pt idx="2">
                  <c:v>1428</c:v>
                </c:pt>
                <c:pt idx="3">
                  <c:v>1501</c:v>
                </c:pt>
                <c:pt idx="4">
                  <c:v>1626</c:v>
                </c:pt>
                <c:pt idx="5">
                  <c:v>2032</c:v>
                </c:pt>
                <c:pt idx="6">
                  <c:v>2313</c:v>
                </c:pt>
                <c:pt idx="7">
                  <c:v>2482</c:v>
                </c:pt>
                <c:pt idx="8">
                  <c:v>2863</c:v>
                </c:pt>
                <c:pt idx="9">
                  <c:v>2878</c:v>
                </c:pt>
                <c:pt idx="10">
                  <c:v>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040-9523-B7F7A56C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15424"/>
        <c:axId val="581615752"/>
      </c:barChart>
      <c:lineChart>
        <c:grouping val="standard"/>
        <c:varyColors val="0"/>
        <c:ser>
          <c:idx val="1"/>
          <c:order val="1"/>
          <c:tx>
            <c:strRef>
              <c:f>Indicadores!$P$7</c:f>
              <c:strCache>
                <c:ptCount val="1"/>
                <c:pt idx="0">
                  <c:v>Margem bruta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Indicadores!$Q$5:$AA$5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Indicadores!$Q$7:$AA$7</c:f>
              <c:numCache>
                <c:formatCode>0%</c:formatCode>
                <c:ptCount val="11"/>
                <c:pt idx="0">
                  <c:v>0.5826636050516647</c:v>
                </c:pt>
                <c:pt idx="1">
                  <c:v>0.61422515308525671</c:v>
                </c:pt>
                <c:pt idx="2">
                  <c:v>0.60253164556962024</c:v>
                </c:pt>
                <c:pt idx="3">
                  <c:v>0.57355750859763088</c:v>
                </c:pt>
                <c:pt idx="4">
                  <c:v>0.54729047458768088</c:v>
                </c:pt>
                <c:pt idx="5">
                  <c:v>0.58424381828637151</c:v>
                </c:pt>
                <c:pt idx="6">
                  <c:v>0.5978288963556474</c:v>
                </c:pt>
                <c:pt idx="7">
                  <c:v>0.5963479096588179</c:v>
                </c:pt>
                <c:pt idx="8">
                  <c:v>0.60618251111581622</c:v>
                </c:pt>
                <c:pt idx="9">
                  <c:v>0.59958333333333336</c:v>
                </c:pt>
                <c:pt idx="10">
                  <c:v>0.60171755725190834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9-4040-9523-B7F7A56C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17064"/>
        <c:axId val="581616736"/>
      </c:lineChart>
      <c:catAx>
        <c:axId val="581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15752"/>
        <c:crosses val="autoZero"/>
        <c:auto val="1"/>
        <c:lblAlgn val="ctr"/>
        <c:lblOffset val="100"/>
        <c:noMultiLvlLbl val="0"/>
      </c:catAx>
      <c:valAx>
        <c:axId val="58161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15424"/>
        <c:crosses val="autoZero"/>
        <c:crossBetween val="between"/>
      </c:valAx>
      <c:valAx>
        <c:axId val="5816167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17064"/>
        <c:crosses val="max"/>
        <c:crossBetween val="between"/>
      </c:valAx>
      <c:catAx>
        <c:axId val="581617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161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EBITDA X Margem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Indicadores!$A$26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Indicadores!$B$25:$L$25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Indicadores!$B$26:$L$26</c:f>
              <c:numCache>
                <c:formatCode>General</c:formatCode>
                <c:ptCount val="11"/>
                <c:pt idx="0">
                  <c:v>590</c:v>
                </c:pt>
                <c:pt idx="1">
                  <c:v>721</c:v>
                </c:pt>
                <c:pt idx="2">
                  <c:v>803</c:v>
                </c:pt>
                <c:pt idx="3">
                  <c:v>836</c:v>
                </c:pt>
                <c:pt idx="4">
                  <c:v>894</c:v>
                </c:pt>
                <c:pt idx="5">
                  <c:v>1171</c:v>
                </c:pt>
                <c:pt idx="6">
                  <c:v>1384</c:v>
                </c:pt>
                <c:pt idx="7">
                  <c:v>1642</c:v>
                </c:pt>
                <c:pt idx="8">
                  <c:v>1972</c:v>
                </c:pt>
                <c:pt idx="9">
                  <c:v>1932</c:v>
                </c:pt>
                <c:pt idx="10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F-4208-A611-942A6982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637136"/>
        <c:axId val="824632216"/>
      </c:barChart>
      <c:lineChart>
        <c:grouping val="standard"/>
        <c:varyColors val="0"/>
        <c:ser>
          <c:idx val="1"/>
          <c:order val="1"/>
          <c:tx>
            <c:strRef>
              <c:f>Indicadores!$A$27</c:f>
              <c:strCache>
                <c:ptCount val="1"/>
                <c:pt idx="0">
                  <c:v>Margem EBITDA (R$1 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Indicadores!$B$25:$L$25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Indicadores!$B$27:$L$27</c:f>
              <c:numCache>
                <c:formatCode>0%</c:formatCode>
                <c:ptCount val="11"/>
                <c:pt idx="0">
                  <c:v>0.338691159586682</c:v>
                </c:pt>
                <c:pt idx="1">
                  <c:v>0.33961375412152617</c:v>
                </c:pt>
                <c:pt idx="2">
                  <c:v>0.33881856540084387</c:v>
                </c:pt>
                <c:pt idx="3">
                  <c:v>0.31944975162399697</c:v>
                </c:pt>
                <c:pt idx="4">
                  <c:v>0.30090878492090206</c:v>
                </c:pt>
                <c:pt idx="5">
                  <c:v>0.3366877515813686</c:v>
                </c:pt>
                <c:pt idx="6">
                  <c:v>0.35771517187903851</c:v>
                </c:pt>
                <c:pt idx="7">
                  <c:v>0.39452186448822679</c:v>
                </c:pt>
                <c:pt idx="8">
                  <c:v>0.41753123015032817</c:v>
                </c:pt>
                <c:pt idx="9">
                  <c:v>0.40250000000000002</c:v>
                </c:pt>
                <c:pt idx="10">
                  <c:v>0.43377862595419847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F-4208-A611-942A6982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33200"/>
        <c:axId val="824637464"/>
      </c:lineChart>
      <c:catAx>
        <c:axId val="824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32216"/>
        <c:crosses val="autoZero"/>
        <c:auto val="1"/>
        <c:lblAlgn val="ctr"/>
        <c:lblOffset val="100"/>
        <c:noMultiLvlLbl val="0"/>
      </c:catAx>
      <c:valAx>
        <c:axId val="82463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37136"/>
        <c:crosses val="autoZero"/>
        <c:crossBetween val="between"/>
      </c:valAx>
      <c:valAx>
        <c:axId val="8246374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33200"/>
        <c:crosses val="max"/>
        <c:crossBetween val="between"/>
      </c:valAx>
      <c:catAx>
        <c:axId val="8246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637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Dívida líquida/EBITDA</a:t>
            </a:r>
          </a:p>
        </c:rich>
      </c:tx>
      <c:layout>
        <c:manualLayout>
          <c:xMode val="edge"/>
          <c:yMode val="edge"/>
          <c:x val="0.35314734039540019"/>
          <c:y val="3.480151660624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21337962962962964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Indicadores!$P$26</c:f>
              <c:strCache>
                <c:ptCount val="1"/>
                <c:pt idx="0">
                  <c:v>Dívida líquida (R$1 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Indicadores!$Q$25:$Y$25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Indicadores!$Q$26:$Y$26</c:f>
              <c:numCache>
                <c:formatCode>General</c:formatCode>
                <c:ptCount val="9"/>
                <c:pt idx="0">
                  <c:v>1319</c:v>
                </c:pt>
                <c:pt idx="1">
                  <c:v>1803</c:v>
                </c:pt>
                <c:pt idx="2">
                  <c:v>2172</c:v>
                </c:pt>
                <c:pt idx="3">
                  <c:v>2073</c:v>
                </c:pt>
                <c:pt idx="4">
                  <c:v>2182</c:v>
                </c:pt>
                <c:pt idx="5">
                  <c:v>2445</c:v>
                </c:pt>
                <c:pt idx="6">
                  <c:v>2806</c:v>
                </c:pt>
                <c:pt idx="7">
                  <c:v>2773</c:v>
                </c:pt>
                <c:pt idx="8">
                  <c:v>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501-8FCA-F63C7BB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309968"/>
        <c:axId val="844317840"/>
      </c:barChart>
      <c:lineChart>
        <c:grouping val="standard"/>
        <c:varyColors val="0"/>
        <c:ser>
          <c:idx val="1"/>
          <c:order val="1"/>
          <c:tx>
            <c:strRef>
              <c:f>Indicadores!$P$27</c:f>
              <c:strCache>
                <c:ptCount val="1"/>
                <c:pt idx="0">
                  <c:v>Dívida líquida/EBITDA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Indicadores!$Q$25:$Y$25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Indicadores!$Q$27:$Y$27</c:f>
              <c:numCache>
                <c:formatCode>General</c:formatCode>
                <c:ptCount val="9"/>
                <c:pt idx="0">
                  <c:v>2.2355932203389832</c:v>
                </c:pt>
                <c:pt idx="1">
                  <c:v>2.5006934812760058</c:v>
                </c:pt>
                <c:pt idx="2">
                  <c:v>2.704856787048568</c:v>
                </c:pt>
                <c:pt idx="3">
                  <c:v>2.4796650717703348</c:v>
                </c:pt>
                <c:pt idx="4">
                  <c:v>2.4407158836689038</c:v>
                </c:pt>
                <c:pt idx="5">
                  <c:v>2.0879590093936806</c:v>
                </c:pt>
                <c:pt idx="6">
                  <c:v>2.0274566473988438</c:v>
                </c:pt>
                <c:pt idx="7">
                  <c:v>1.6887941534713764</c:v>
                </c:pt>
                <c:pt idx="8">
                  <c:v>1.5907707910750508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F-4501-8FCA-F63C7BB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92560"/>
        <c:axId val="618092888"/>
      </c:lineChart>
      <c:catAx>
        <c:axId val="844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317840"/>
        <c:crosses val="autoZero"/>
        <c:auto val="1"/>
        <c:lblAlgn val="ctr"/>
        <c:lblOffset val="100"/>
        <c:noMultiLvlLbl val="0"/>
      </c:catAx>
      <c:valAx>
        <c:axId val="8443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309968"/>
        <c:crosses val="autoZero"/>
        <c:crossBetween val="between"/>
      </c:valAx>
      <c:valAx>
        <c:axId val="618092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092560"/>
        <c:crosses val="max"/>
        <c:crossBetween val="between"/>
      </c:valAx>
      <c:catAx>
        <c:axId val="61809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092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Beta!$G$4</c:f>
              <c:strCache>
                <c:ptCount val="1"/>
                <c:pt idx="0">
                  <c:v>SAPR4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1937589433975E-3"/>
                  <c:y val="-0.37749300443319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Beta!$F$5:$F$42</c:f>
              <c:numCache>
                <c:formatCode>0.00%</c:formatCode>
                <c:ptCount val="38"/>
                <c:pt idx="0">
                  <c:v>2.4899999999999999E-2</c:v>
                </c:pt>
                <c:pt idx="1">
                  <c:v>-1.3299999999999999E-2</c:v>
                </c:pt>
                <c:pt idx="2">
                  <c:v>-6.3899999999999998E-2</c:v>
                </c:pt>
                <c:pt idx="3">
                  <c:v>-6.6500000000000004E-2</c:v>
                </c:pt>
                <c:pt idx="4">
                  <c:v>-2.5899999999999999E-2</c:v>
                </c:pt>
                <c:pt idx="5">
                  <c:v>-3.8600000000000002E-2</c:v>
                </c:pt>
                <c:pt idx="6">
                  <c:v>4.5999999999999999E-3</c:v>
                </c:pt>
                <c:pt idx="7">
                  <c:v>5.9900000000000002E-2</c:v>
                </c:pt>
                <c:pt idx="8">
                  <c:v>2.12E-2</c:v>
                </c:pt>
                <c:pt idx="9">
                  <c:v>6.0900000000000003E-2</c:v>
                </c:pt>
                <c:pt idx="10">
                  <c:v>-4.4999999999999998E-2</c:v>
                </c:pt>
                <c:pt idx="11">
                  <c:v>-3.5700000000000003E-2</c:v>
                </c:pt>
                <c:pt idx="12">
                  <c:v>9.1899999999999996E-2</c:v>
                </c:pt>
                <c:pt idx="13">
                  <c:v>0.15820000000000001</c:v>
                </c:pt>
                <c:pt idx="14">
                  <c:v>-4.3E-3</c:v>
                </c:pt>
                <c:pt idx="15">
                  <c:v>-4.8599999999999997E-2</c:v>
                </c:pt>
                <c:pt idx="16">
                  <c:v>-3.6200000000000003E-2</c:v>
                </c:pt>
                <c:pt idx="17">
                  <c:v>8.3699999999999997E-2</c:v>
                </c:pt>
                <c:pt idx="18">
                  <c:v>8.8800000000000004E-2</c:v>
                </c:pt>
                <c:pt idx="19">
                  <c:v>8.9899999999999994E-2</c:v>
                </c:pt>
                <c:pt idx="20">
                  <c:v>0.1133</c:v>
                </c:pt>
                <c:pt idx="21">
                  <c:v>-0.31059999999999999</c:v>
                </c:pt>
                <c:pt idx="22">
                  <c:v>-7.6200000000000004E-2</c:v>
                </c:pt>
                <c:pt idx="23">
                  <c:v>-2.0899999999999998E-2</c:v>
                </c:pt>
                <c:pt idx="24">
                  <c:v>6.59E-2</c:v>
                </c:pt>
                <c:pt idx="25">
                  <c:v>1.0800000000000001E-2</c:v>
                </c:pt>
                <c:pt idx="26">
                  <c:v>2.1999999999999999E-2</c:v>
                </c:pt>
                <c:pt idx="27">
                  <c:v>3.4799999999999998E-2</c:v>
                </c:pt>
                <c:pt idx="28">
                  <c:v>-3.8E-3</c:v>
                </c:pt>
                <c:pt idx="29">
                  <c:v>8.9999999999999993E-3</c:v>
                </c:pt>
                <c:pt idx="30">
                  <c:v>3.7600000000000001E-2</c:v>
                </c:pt>
                <c:pt idx="31">
                  <c:v>7.6E-3</c:v>
                </c:pt>
                <c:pt idx="32">
                  <c:v>1.17E-2</c:v>
                </c:pt>
                <c:pt idx="33">
                  <c:v>-4.0000000000000002E-4</c:v>
                </c:pt>
                <c:pt idx="34">
                  <c:v>-2.29E-2</c:v>
                </c:pt>
                <c:pt idx="35">
                  <c:v>0.1111</c:v>
                </c:pt>
                <c:pt idx="36">
                  <c:v>-2.0500000000000001E-2</c:v>
                </c:pt>
                <c:pt idx="37">
                  <c:v>7.4189189189189167E-3</c:v>
                </c:pt>
              </c:numCache>
            </c:numRef>
          </c:xVal>
          <c:yVal>
            <c:numRef>
              <c:f>Beta!$G$5:$G$42</c:f>
              <c:numCache>
                <c:formatCode>0.00%</c:formatCode>
                <c:ptCount val="38"/>
                <c:pt idx="0">
                  <c:v>1.84E-2</c:v>
                </c:pt>
                <c:pt idx="1">
                  <c:v>2.1499999999999998E-2</c:v>
                </c:pt>
                <c:pt idx="2">
                  <c:v>-3.3799999999999997E-2</c:v>
                </c:pt>
                <c:pt idx="3">
                  <c:v>-1.5299999999999999E-2</c:v>
                </c:pt>
                <c:pt idx="4">
                  <c:v>-1.26E-2</c:v>
                </c:pt>
                <c:pt idx="5">
                  <c:v>-3.1099999999999999E-2</c:v>
                </c:pt>
                <c:pt idx="6">
                  <c:v>3.2000000000000001E-2</c:v>
                </c:pt>
                <c:pt idx="7">
                  <c:v>-4.6899999999999997E-2</c:v>
                </c:pt>
                <c:pt idx="8">
                  <c:v>-3.6200000000000003E-2</c:v>
                </c:pt>
                <c:pt idx="9">
                  <c:v>0.1162</c:v>
                </c:pt>
                <c:pt idx="10">
                  <c:v>-8.1199999999999994E-2</c:v>
                </c:pt>
                <c:pt idx="11">
                  <c:v>-0.1381</c:v>
                </c:pt>
                <c:pt idx="12">
                  <c:v>2.1999999999999999E-2</c:v>
                </c:pt>
                <c:pt idx="13">
                  <c:v>4.8300000000000003E-2</c:v>
                </c:pt>
                <c:pt idx="14">
                  <c:v>-6.4799999999999996E-2</c:v>
                </c:pt>
                <c:pt idx="15">
                  <c:v>-3.78E-2</c:v>
                </c:pt>
                <c:pt idx="16">
                  <c:v>-0.12709999999999999</c:v>
                </c:pt>
                <c:pt idx="17">
                  <c:v>-1.9E-2</c:v>
                </c:pt>
                <c:pt idx="18">
                  <c:v>0.18049999999999999</c:v>
                </c:pt>
                <c:pt idx="19">
                  <c:v>6.83E-2</c:v>
                </c:pt>
                <c:pt idx="20">
                  <c:v>3.5299999999999998E-2</c:v>
                </c:pt>
                <c:pt idx="21">
                  <c:v>-0.2712</c:v>
                </c:pt>
                <c:pt idx="22">
                  <c:v>-6.4999999999999997E-3</c:v>
                </c:pt>
                <c:pt idx="23">
                  <c:v>-0.04</c:v>
                </c:pt>
                <c:pt idx="24">
                  <c:v>0.13950000000000001</c:v>
                </c:pt>
                <c:pt idx="25">
                  <c:v>1.8700000000000001E-2</c:v>
                </c:pt>
                <c:pt idx="26">
                  <c:v>0.104</c:v>
                </c:pt>
                <c:pt idx="27">
                  <c:v>-0.06</c:v>
                </c:pt>
                <c:pt idx="28">
                  <c:v>9.9199999999999997E-2</c:v>
                </c:pt>
                <c:pt idx="29">
                  <c:v>0.1099</c:v>
                </c:pt>
                <c:pt idx="30">
                  <c:v>8.6499999999999994E-2</c:v>
                </c:pt>
                <c:pt idx="31">
                  <c:v>-4.99E-2</c:v>
                </c:pt>
                <c:pt idx="32">
                  <c:v>3.8699999999999998E-2</c:v>
                </c:pt>
                <c:pt idx="33">
                  <c:v>1.61E-2</c:v>
                </c:pt>
                <c:pt idx="34">
                  <c:v>1.3299999999999999E-2</c:v>
                </c:pt>
                <c:pt idx="35">
                  <c:v>0.30330000000000001</c:v>
                </c:pt>
                <c:pt idx="36">
                  <c:v>2.3900000000000001E-2</c:v>
                </c:pt>
                <c:pt idx="37">
                  <c:v>1.61E-2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F-4A2C-B768-49DD4EB7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2008"/>
        <c:axId val="624755288"/>
      </c:scatterChart>
      <c:valAx>
        <c:axId val="6247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755288"/>
        <c:crosses val="autoZero"/>
        <c:crossBetween val="midCat"/>
      </c:valAx>
      <c:valAx>
        <c:axId val="6247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75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'Previsão '!$E$1</c:f>
              <c:strCache>
                <c:ptCount val="1"/>
                <c:pt idx="0">
                  <c:v> Saldo Final de Caixa e Equivalentes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'Previsão '!$E$2:$E$12</c:f>
              <c:numCache>
                <c:formatCode>General</c:formatCode>
                <c:ptCount val="11"/>
                <c:pt idx="0">
                  <c:v>638330000</c:v>
                </c:pt>
                <c:pt idx="1">
                  <c:v>533888000</c:v>
                </c:pt>
                <c:pt idx="2">
                  <c:v>326624000</c:v>
                </c:pt>
                <c:pt idx="3">
                  <c:v>274059000</c:v>
                </c:pt>
                <c:pt idx="4">
                  <c:v>874323000</c:v>
                </c:pt>
                <c:pt idx="5">
                  <c:v>983127000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4B4-9B88-59C753376365}"/>
            </c:ext>
          </c:extLst>
        </c:ser>
        <c:ser>
          <c:idx val="1"/>
          <c:order val="1"/>
          <c:tx>
            <c:strRef>
              <c:f>'Previsão '!$F$1</c:f>
              <c:strCache>
                <c:ptCount val="1"/>
                <c:pt idx="0">
                  <c:v>Previsão( Saldo Final de Caixa e Equivalentes 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'Previsão '!$D$2:$D$12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'Previsão '!$F$2:$F$12</c:f>
              <c:numCache>
                <c:formatCode>General</c:formatCode>
                <c:ptCount val="11"/>
                <c:pt idx="5">
                  <c:v>983127000</c:v>
                </c:pt>
                <c:pt idx="6">
                  <c:v>1078445131.70696</c:v>
                </c:pt>
                <c:pt idx="7">
                  <c:v>1179369583.2533574</c:v>
                </c:pt>
                <c:pt idx="8">
                  <c:v>1280294034.7997546</c:v>
                </c:pt>
                <c:pt idx="9">
                  <c:v>1381218486.3461521</c:v>
                </c:pt>
                <c:pt idx="10">
                  <c:v>1482142937.8925493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4B4-9B88-59C753376365}"/>
            </c:ext>
          </c:extLst>
        </c:ser>
        <c:ser>
          <c:idx val="2"/>
          <c:order val="2"/>
          <c:tx>
            <c:strRef>
              <c:f>'Previsão '!$G$1</c:f>
              <c:strCache>
                <c:ptCount val="1"/>
                <c:pt idx="0">
                  <c:v>Limite de Confiança Inferior( Saldo Final de Caixa e Equivalentes 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'Previsão '!$D$2:$D$12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'Previsão '!$G$2:$G$12</c:f>
              <c:numCache>
                <c:formatCode>General</c:formatCode>
                <c:ptCount val="11"/>
                <c:pt idx="5" formatCode="0.00">
                  <c:v>983127000</c:v>
                </c:pt>
                <c:pt idx="6" formatCode="0.00">
                  <c:v>560086689.26641917</c:v>
                </c:pt>
                <c:pt idx="7" formatCode="0.00">
                  <c:v>481642752.73328364</c:v>
                </c:pt>
                <c:pt idx="8" formatCode="0.00">
                  <c:v>440392586.32681286</c:v>
                </c:pt>
                <c:pt idx="9" formatCode="0.00">
                  <c:v>419693056.83406341</c:v>
                </c:pt>
                <c:pt idx="10" formatCode="0.00">
                  <c:v>412510574.52047908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E-44B4-9B88-59C753376365}"/>
            </c:ext>
          </c:extLst>
        </c:ser>
        <c:ser>
          <c:idx val="3"/>
          <c:order val="3"/>
          <c:tx>
            <c:strRef>
              <c:f>'Previsão '!$H$1</c:f>
              <c:strCache>
                <c:ptCount val="1"/>
                <c:pt idx="0">
                  <c:v>Limite de Confiança Superior( Saldo Final de Caixa e Equivalentes 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'Previsão '!$D$2:$D$12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'Previsão '!$H$2:$H$12</c:f>
              <c:numCache>
                <c:formatCode>General</c:formatCode>
                <c:ptCount val="11"/>
                <c:pt idx="5" formatCode="0.00">
                  <c:v>983127000</c:v>
                </c:pt>
                <c:pt idx="6" formatCode="0.00">
                  <c:v>1596803574.1475008</c:v>
                </c:pt>
                <c:pt idx="7" formatCode="0.00">
                  <c:v>1877096413.7734313</c:v>
                </c:pt>
                <c:pt idx="8" formatCode="0.00">
                  <c:v>2120195483.2726965</c:v>
                </c:pt>
                <c:pt idx="9" formatCode="0.00">
                  <c:v>2342743915.8582406</c:v>
                </c:pt>
                <c:pt idx="10" formatCode="0.00">
                  <c:v>2551775301.2646194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E-44B4-9B88-59C75337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83552"/>
        <c:axId val="579483880"/>
      </c:lineChart>
      <c:catAx>
        <c:axId val="579483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483880"/>
        <c:crosses val="autoZero"/>
        <c:auto val="1"/>
        <c:lblAlgn val="ctr"/>
        <c:lblOffset val="100"/>
        <c:noMultiLvlLbl val="0"/>
      </c:catAx>
      <c:valAx>
        <c:axId val="579483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94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alor de mercado'!A1"/><Relationship Id="rId3" Type="http://schemas.openxmlformats.org/officeDocument/2006/relationships/hyperlink" Target="#Beta!A1"/><Relationship Id="rId7" Type="http://schemas.openxmlformats.org/officeDocument/2006/relationships/hyperlink" Target="#WACC!A1"/><Relationship Id="rId2" Type="http://schemas.openxmlformats.org/officeDocument/2006/relationships/hyperlink" Target="#VI!A1"/><Relationship Id="rId1" Type="http://schemas.openxmlformats.org/officeDocument/2006/relationships/hyperlink" Target="#Indicadores!A1"/><Relationship Id="rId6" Type="http://schemas.openxmlformats.org/officeDocument/2006/relationships/hyperlink" Target="#'KD KI'!A1"/><Relationship Id="rId5" Type="http://schemas.openxmlformats.org/officeDocument/2006/relationships/hyperlink" Target="#'Previs&#227;o '!A1"/><Relationship Id="rId10" Type="http://schemas.openxmlformats.org/officeDocument/2006/relationships/hyperlink" Target="#Resumo!A1"/><Relationship Id="rId4" Type="http://schemas.openxmlformats.org/officeDocument/2006/relationships/hyperlink" Target="#'Fluxo de caixa'!A1"/><Relationship Id="rId9" Type="http://schemas.openxmlformats.org/officeDocument/2006/relationships/hyperlink" Target="#M&#250;ltiplo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9</xdr:row>
      <xdr:rowOff>19050</xdr:rowOff>
    </xdr:from>
    <xdr:to>
      <xdr:col>5</xdr:col>
      <xdr:colOff>28576</xdr:colOff>
      <xdr:row>12</xdr:row>
      <xdr:rowOff>9525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D70AE9-5D85-1DA9-FDE5-1671355397A1}"/>
            </a:ext>
          </a:extLst>
        </xdr:cNvPr>
        <xdr:cNvSpPr/>
      </xdr:nvSpPr>
      <xdr:spPr>
        <a:xfrm>
          <a:off x="1838326" y="172402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Indicadores</a:t>
          </a:r>
        </a:p>
      </xdr:txBody>
    </xdr:sp>
    <xdr:clientData/>
  </xdr:twoCellAnchor>
  <xdr:twoCellAnchor>
    <xdr:from>
      <xdr:col>3</xdr:col>
      <xdr:colOff>9525</xdr:colOff>
      <xdr:row>13</xdr:row>
      <xdr:rowOff>9525</xdr:rowOff>
    </xdr:from>
    <xdr:to>
      <xdr:col>5</xdr:col>
      <xdr:colOff>28575</xdr:colOff>
      <xdr:row>15</xdr:row>
      <xdr:rowOff>180975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004ACF-B365-4758-8666-533BF1192E5B}"/>
            </a:ext>
          </a:extLst>
        </xdr:cNvPr>
        <xdr:cNvSpPr/>
      </xdr:nvSpPr>
      <xdr:spPr>
        <a:xfrm>
          <a:off x="1838325" y="2295525"/>
          <a:ext cx="1238250" cy="552450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Modelo Graham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19050</xdr:colOff>
      <xdr:row>19</xdr:row>
      <xdr:rowOff>171450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0BF790-4886-4525-AD9D-3C7D555E5391}"/>
            </a:ext>
          </a:extLst>
        </xdr:cNvPr>
        <xdr:cNvSpPr/>
      </xdr:nvSpPr>
      <xdr:spPr>
        <a:xfrm>
          <a:off x="1828800" y="3048000"/>
          <a:ext cx="1238250" cy="552450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Cálculo do beta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19050</xdr:colOff>
      <xdr:row>7</xdr:row>
      <xdr:rowOff>180975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431154-9B3C-455E-BC22-512EDBA1725F}"/>
            </a:ext>
          </a:extLst>
        </xdr:cNvPr>
        <xdr:cNvSpPr/>
      </xdr:nvSpPr>
      <xdr:spPr>
        <a:xfrm>
          <a:off x="4267200" y="7620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Fluxo de caixa futuro</a:t>
          </a:r>
        </a:p>
      </xdr:txBody>
    </xdr:sp>
    <xdr:clientData/>
  </xdr:twoCellAnchor>
  <xdr:twoCellAnchor>
    <xdr:from>
      <xdr:col>6</xdr:col>
      <xdr:colOff>600075</xdr:colOff>
      <xdr:row>9</xdr:row>
      <xdr:rowOff>0</xdr:rowOff>
    </xdr:from>
    <xdr:to>
      <xdr:col>9</xdr:col>
      <xdr:colOff>9525</xdr:colOff>
      <xdr:row>11</xdr:row>
      <xdr:rowOff>180975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DDDE5F-8D88-4C09-9918-38A25B7CB24B}"/>
            </a:ext>
          </a:extLst>
        </xdr:cNvPr>
        <xdr:cNvSpPr/>
      </xdr:nvSpPr>
      <xdr:spPr>
        <a:xfrm>
          <a:off x="4257675" y="15240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Previsão do Excel</a:t>
          </a:r>
        </a:p>
      </xdr:txBody>
    </xdr:sp>
    <xdr:clientData/>
  </xdr:twoCellAnchor>
  <xdr:twoCellAnchor>
    <xdr:from>
      <xdr:col>7</xdr:col>
      <xdr:colOff>0</xdr:colOff>
      <xdr:row>12</xdr:row>
      <xdr:rowOff>180975</xdr:rowOff>
    </xdr:from>
    <xdr:to>
      <xdr:col>9</xdr:col>
      <xdr:colOff>19050</xdr:colOff>
      <xdr:row>15</xdr:row>
      <xdr:rowOff>171450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74A17A-FA85-492F-B685-B9E8755360C5}"/>
            </a:ext>
          </a:extLst>
        </xdr:cNvPr>
        <xdr:cNvSpPr/>
      </xdr:nvSpPr>
      <xdr:spPr>
        <a:xfrm>
          <a:off x="4267200" y="227647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Cálculo do KD e KI</a:t>
          </a:r>
        </a:p>
      </xdr:txBody>
    </xdr:sp>
    <xdr:clientData/>
  </xdr:twoCellAnchor>
  <xdr:twoCellAnchor>
    <xdr:from>
      <xdr:col>7</xdr:col>
      <xdr:colOff>9525</xdr:colOff>
      <xdr:row>17</xdr:row>
      <xdr:rowOff>0</xdr:rowOff>
    </xdr:from>
    <xdr:to>
      <xdr:col>9</xdr:col>
      <xdr:colOff>28575</xdr:colOff>
      <xdr:row>19</xdr:row>
      <xdr:rowOff>180975</xdr:rowOff>
    </xdr:to>
    <xdr:sp macro="" textlink="">
      <xdr:nvSpPr>
        <xdr:cNvPr id="8" name="Retângul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BF4C61-9F37-4C5D-AB84-3F1BDBBDE392}"/>
            </a:ext>
          </a:extLst>
        </xdr:cNvPr>
        <xdr:cNvSpPr/>
      </xdr:nvSpPr>
      <xdr:spPr>
        <a:xfrm>
          <a:off x="4276725" y="30480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Cálculo do WACC</a:t>
          </a:r>
        </a:p>
      </xdr:txBody>
    </xdr:sp>
    <xdr:clientData/>
  </xdr:twoCellAnchor>
  <xdr:twoCellAnchor>
    <xdr:from>
      <xdr:col>11</xdr:col>
      <xdr:colOff>9525</xdr:colOff>
      <xdr:row>4</xdr:row>
      <xdr:rowOff>180975</xdr:rowOff>
    </xdr:from>
    <xdr:to>
      <xdr:col>13</xdr:col>
      <xdr:colOff>28575</xdr:colOff>
      <xdr:row>7</xdr:row>
      <xdr:rowOff>171450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91A5469-9ED2-42A1-8E52-FF2058121EE1}"/>
            </a:ext>
          </a:extLst>
        </xdr:cNvPr>
        <xdr:cNvSpPr/>
      </xdr:nvSpPr>
      <xdr:spPr>
        <a:xfrm>
          <a:off x="6715125" y="75247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Valor de mercado</a:t>
          </a:r>
        </a:p>
        <a:p>
          <a:pPr marL="0" indent="0" algn="ctr"/>
          <a:endParaRPr lang="pt-BR" sz="1200" b="1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600075</xdr:colOff>
      <xdr:row>8</xdr:row>
      <xdr:rowOff>180975</xdr:rowOff>
    </xdr:from>
    <xdr:to>
      <xdr:col>13</xdr:col>
      <xdr:colOff>9525</xdr:colOff>
      <xdr:row>11</xdr:row>
      <xdr:rowOff>171450</xdr:rowOff>
    </xdr:to>
    <xdr:sp macro="" textlink="">
      <xdr:nvSpPr>
        <xdr:cNvPr id="10" name="Retângulo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250092-3556-4BF9-9A8A-F3C2F2F59BD5}"/>
            </a:ext>
          </a:extLst>
        </xdr:cNvPr>
        <xdr:cNvSpPr/>
      </xdr:nvSpPr>
      <xdr:spPr>
        <a:xfrm>
          <a:off x="6696075" y="151447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Múltiplos</a:t>
          </a:r>
        </a:p>
        <a:p>
          <a:pPr marL="0" indent="0" algn="ctr"/>
          <a:endParaRPr lang="pt-BR" sz="1200" b="1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600075</xdr:colOff>
      <xdr:row>5</xdr:row>
      <xdr:rowOff>0</xdr:rowOff>
    </xdr:from>
    <xdr:to>
      <xdr:col>5</xdr:col>
      <xdr:colOff>9525</xdr:colOff>
      <xdr:row>7</xdr:row>
      <xdr:rowOff>180975</xdr:rowOff>
    </xdr:to>
    <xdr:sp macro="" textlink="">
      <xdr:nvSpPr>
        <xdr:cNvPr id="11" name="Retângulo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62BD2E4-D367-4CE2-A9F8-2EACDDE594EE}"/>
            </a:ext>
          </a:extLst>
        </xdr:cNvPr>
        <xdr:cNvSpPr/>
      </xdr:nvSpPr>
      <xdr:spPr>
        <a:xfrm>
          <a:off x="1819275" y="7620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Resumo</a:t>
          </a:r>
        </a:p>
        <a:p>
          <a:pPr algn="ctr"/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2</xdr:col>
      <xdr:colOff>66675</xdr:colOff>
      <xdr:row>3</xdr:row>
      <xdr:rowOff>57150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31013-9A53-4114-BE6B-B5DCE48C66A6}"/>
            </a:ext>
          </a:extLst>
        </xdr:cNvPr>
        <xdr:cNvSpPr/>
      </xdr:nvSpPr>
      <xdr:spPr>
        <a:xfrm>
          <a:off x="47625" y="6667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114300</xdr:rowOff>
    </xdr:from>
    <xdr:to>
      <xdr:col>2</xdr:col>
      <xdr:colOff>85725</xdr:colOff>
      <xdr:row>3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B3B557-D16B-401A-ADB0-874B2AF0B936}"/>
            </a:ext>
          </a:extLst>
        </xdr:cNvPr>
        <xdr:cNvSpPr/>
      </xdr:nvSpPr>
      <xdr:spPr>
        <a:xfrm>
          <a:off x="66675" y="1143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11</xdr:col>
      <xdr:colOff>323852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63108-63E3-0A6C-F75D-F8D8E8DF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295274</xdr:colOff>
      <xdr:row>7</xdr:row>
      <xdr:rowOff>119061</xdr:rowOff>
    </xdr:from>
    <xdr:to>
      <xdr:col>27</xdr:col>
      <xdr:colOff>495299</xdr:colOff>
      <xdr:row>22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4848A6-308B-7C2C-F8A5-6F457B29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157162</xdr:rowOff>
    </xdr:from>
    <xdr:to>
      <xdr:col>11</xdr:col>
      <xdr:colOff>314324</xdr:colOff>
      <xdr:row>43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D7B1C4-3D0F-D824-4263-C24BB1E8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0</xdr:row>
      <xdr:rowOff>95250</xdr:rowOff>
    </xdr:from>
    <xdr:to>
      <xdr:col>0</xdr:col>
      <xdr:colOff>1257300</xdr:colOff>
      <xdr:row>3</xdr:row>
      <xdr:rowOff>85725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8C2BF3-CEAA-4E86-A078-B195EBD530CB}"/>
            </a:ext>
          </a:extLst>
        </xdr:cNvPr>
        <xdr:cNvSpPr/>
      </xdr:nvSpPr>
      <xdr:spPr>
        <a:xfrm>
          <a:off x="19050" y="9525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304799</xdr:colOff>
      <xdr:row>27</xdr:row>
      <xdr:rowOff>119061</xdr:rowOff>
    </xdr:from>
    <xdr:to>
      <xdr:col>27</xdr:col>
      <xdr:colOff>352425</xdr:colOff>
      <xdr:row>42</xdr:row>
      <xdr:rowOff>180974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69C5FA-0CFB-C8B3-AEC9-C3129D0C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2</xdr:col>
      <xdr:colOff>95250</xdr:colOff>
      <xdr:row>3</xdr:row>
      <xdr:rowOff>28575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34A80-3EEA-4FBA-A7C2-E90EA755C5B7}"/>
            </a:ext>
          </a:extLst>
        </xdr:cNvPr>
        <xdr:cNvSpPr/>
      </xdr:nvSpPr>
      <xdr:spPr>
        <a:xfrm>
          <a:off x="76200" y="9525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157162</xdr:rowOff>
    </xdr:from>
    <xdr:to>
      <xdr:col>18</xdr:col>
      <xdr:colOff>342900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D8F5A7-D954-22EE-2883-39D657E6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95250</xdr:rowOff>
    </xdr:from>
    <xdr:to>
      <xdr:col>2</xdr:col>
      <xdr:colOff>28575</xdr:colOff>
      <xdr:row>3</xdr:row>
      <xdr:rowOff>85725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6F3FCB-C7C4-402C-973C-EE1252B36A58}"/>
            </a:ext>
          </a:extLst>
        </xdr:cNvPr>
        <xdr:cNvSpPr/>
      </xdr:nvSpPr>
      <xdr:spPr>
        <a:xfrm>
          <a:off x="9525" y="9525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2</xdr:col>
      <xdr:colOff>57150</xdr:colOff>
      <xdr:row>3</xdr:row>
      <xdr:rowOff>28575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F0678-9DE7-4294-87D4-8401CF09AD1C}"/>
            </a:ext>
          </a:extLst>
        </xdr:cNvPr>
        <xdr:cNvSpPr/>
      </xdr:nvSpPr>
      <xdr:spPr>
        <a:xfrm>
          <a:off x="38100" y="381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2281237</xdr:colOff>
      <xdr:row>13</xdr:row>
      <xdr:rowOff>61912</xdr:rowOff>
    </xdr:from>
    <xdr:to>
      <xdr:col>6</xdr:col>
      <xdr:colOff>3167062</xdr:colOff>
      <xdr:row>28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4878D6-857C-19CE-7DCE-4B8A208A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95250</xdr:rowOff>
    </xdr:from>
    <xdr:to>
      <xdr:col>2</xdr:col>
      <xdr:colOff>38100</xdr:colOff>
      <xdr:row>3</xdr:row>
      <xdr:rowOff>85725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E43C1E-7708-49CE-83F2-3308ED24B235}"/>
            </a:ext>
          </a:extLst>
        </xdr:cNvPr>
        <xdr:cNvSpPr/>
      </xdr:nvSpPr>
      <xdr:spPr>
        <a:xfrm>
          <a:off x="19050" y="9525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2</xdr:col>
      <xdr:colOff>76200</xdr:colOff>
      <xdr:row>3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84C3D-C93B-4508-93A5-8199AD6F4B77}"/>
            </a:ext>
          </a:extLst>
        </xdr:cNvPr>
        <xdr:cNvSpPr/>
      </xdr:nvSpPr>
      <xdr:spPr>
        <a:xfrm>
          <a:off x="57150" y="114300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2</xdr:col>
      <xdr:colOff>57150</xdr:colOff>
      <xdr:row>3</xdr:row>
      <xdr:rowOff>38100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142DA-6D81-4346-9034-5E1B2E968651}"/>
            </a:ext>
          </a:extLst>
        </xdr:cNvPr>
        <xdr:cNvSpPr/>
      </xdr:nvSpPr>
      <xdr:spPr>
        <a:xfrm>
          <a:off x="38100" y="4762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2</xdr:col>
      <xdr:colOff>200025</xdr:colOff>
      <xdr:row>3</xdr:row>
      <xdr:rowOff>171450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6AE9E-413D-4A92-9DC2-1D6012EA6D37}"/>
            </a:ext>
          </a:extLst>
        </xdr:cNvPr>
        <xdr:cNvSpPr/>
      </xdr:nvSpPr>
      <xdr:spPr>
        <a:xfrm>
          <a:off x="180975" y="180975"/>
          <a:ext cx="1238250" cy="561975"/>
        </a:xfrm>
        <a:prstGeom prst="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  <a:p>
          <a:pPr algn="ctr"/>
          <a:endParaRPr lang="pt-BR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C42CD-B68E-4F2D-8311-A1EEDCDF22F0}" name="Tabela2" displayName="Tabela2" ref="D1:H12" totalsRowShown="0">
  <autoFilter ref="D1:H12" xr:uid="{719C42CD-B68E-4F2D-8311-A1EEDCDF22F0}"/>
  <tableColumns count="5">
    <tableColumn id="1" xr3:uid="{8ACE08EE-9116-4A72-B906-DFF8A21D3CDF}" name="Ano"/>
    <tableColumn id="2" xr3:uid="{0007AA18-8DD5-4F6C-9927-9CCB4AD9FE31}" name=" Saldo Final de Caixa e Equivalentes "/>
    <tableColumn id="3" xr3:uid="{EF0FD5A3-ACCB-44D2-891B-7E9484E00DB5}" name="Previsão( Saldo Final de Caixa e Equivalentes )">
      <calculatedColumnFormula>_xlfn.FORECAST.ETS(D2,$E$2:$E$7,$D$2:$D$7,1,1)</calculatedColumnFormula>
    </tableColumn>
    <tableColumn id="4" xr3:uid="{74258535-7EEA-45C2-A83C-172627540D18}" name="Limite de Confiança Inferior( Saldo Final de Caixa e Equivalentes )" dataDxfId="1">
      <calculatedColumnFormula>F2-_xlfn.FORECAST.ETS.CONFINT(D2,$E$2:$E$7,$D$2:$D$7,0.95,1,1)</calculatedColumnFormula>
    </tableColumn>
    <tableColumn id="5" xr3:uid="{136192A6-2DDC-47CB-9A62-586B8865CC24}" name="Limite de Confiança Superior( Saldo Final de Caixa e Equivalentes )" dataDxfId="0">
      <calculatedColumnFormula>F2+_xlfn.FORECAST.ETS.CONFINT(D2,$E$2:$E$7,$D$2:$D$7,0.95,1,1)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1776-262F-48A3-A85E-39F54DDF4B05}">
  <dimension ref="A1:Q30"/>
  <sheetViews>
    <sheetView showGridLines="0" showRowColHeaders="0" tabSelected="1" workbookViewId="0">
      <selection activeCell="T31" sqref="T31"/>
    </sheetView>
  </sheetViews>
  <sheetFormatPr defaultRowHeight="15" x14ac:dyDescent="0.25"/>
  <sheetData>
    <row r="1" spans="1:17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customHeight="1" x14ac:dyDescent="0.25">
      <c r="A2" s="70"/>
      <c r="B2" s="70"/>
      <c r="C2" s="70"/>
      <c r="D2" s="88" t="s">
        <v>70</v>
      </c>
      <c r="E2" s="89"/>
      <c r="F2" s="89"/>
      <c r="G2" s="89"/>
      <c r="H2" s="89"/>
      <c r="I2" s="89"/>
      <c r="J2" s="89"/>
      <c r="K2" s="89"/>
      <c r="L2" s="89"/>
      <c r="M2" s="89"/>
      <c r="N2" s="70"/>
      <c r="O2" s="70"/>
      <c r="P2" s="70"/>
      <c r="Q2" s="70"/>
    </row>
    <row r="3" spans="1:17" ht="15" customHeight="1" x14ac:dyDescent="0.25">
      <c r="A3" s="70"/>
      <c r="B3" s="70"/>
      <c r="C3" s="70"/>
      <c r="D3" s="89"/>
      <c r="E3" s="89"/>
      <c r="F3" s="89"/>
      <c r="G3" s="89"/>
      <c r="H3" s="89"/>
      <c r="I3" s="89"/>
      <c r="J3" s="89"/>
      <c r="K3" s="89"/>
      <c r="L3" s="89"/>
      <c r="M3" s="89"/>
      <c r="N3" s="70"/>
      <c r="O3" s="70"/>
      <c r="P3" s="70"/>
      <c r="Q3" s="70"/>
    </row>
    <row r="4" spans="1:17" x14ac:dyDescent="0.25">
      <c r="A4" s="70"/>
      <c r="B4" s="70"/>
      <c r="C4" s="70"/>
      <c r="D4" s="89"/>
      <c r="E4" s="89"/>
      <c r="F4" s="89"/>
      <c r="G4" s="89"/>
      <c r="H4" s="89"/>
      <c r="I4" s="89"/>
      <c r="J4" s="89"/>
      <c r="K4" s="89"/>
      <c r="L4" s="89"/>
      <c r="M4" s="89"/>
      <c r="N4" s="70"/>
      <c r="O4" s="70"/>
      <c r="P4" s="70"/>
      <c r="Q4" s="70"/>
    </row>
    <row r="5" spans="1:17" ht="14.25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1:17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</row>
    <row r="7" spans="1:17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1:17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x14ac:dyDescent="0.2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x14ac:dyDescent="0.25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17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17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87" t="s">
        <v>71</v>
      </c>
      <c r="M14" s="87"/>
      <c r="N14" s="70"/>
      <c r="O14" s="70"/>
      <c r="P14" s="70"/>
      <c r="Q14" s="70"/>
    </row>
    <row r="15" spans="1:17" x14ac:dyDescent="0.2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87"/>
      <c r="M15" s="87"/>
      <c r="N15" s="70"/>
      <c r="O15" s="70"/>
      <c r="P15" s="70"/>
      <c r="Q15" s="70"/>
    </row>
    <row r="16" spans="1:17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87"/>
      <c r="M16" s="87"/>
      <c r="N16" s="70"/>
      <c r="O16" s="70"/>
      <c r="P16" s="70"/>
      <c r="Q16" s="70"/>
    </row>
    <row r="17" spans="1:17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87"/>
      <c r="M17" s="87"/>
      <c r="N17" s="70"/>
      <c r="O17" s="70"/>
      <c r="P17" s="70"/>
      <c r="Q17" s="70"/>
    </row>
    <row r="18" spans="1:17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87"/>
      <c r="M18" s="87"/>
      <c r="N18" s="70"/>
      <c r="O18" s="70"/>
      <c r="P18" s="70"/>
      <c r="Q18" s="70"/>
    </row>
    <row r="19" spans="1:17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87"/>
      <c r="M19" s="87"/>
      <c r="N19" s="70"/>
      <c r="O19" s="70"/>
      <c r="P19" s="70"/>
      <c r="Q19" s="70"/>
    </row>
    <row r="20" spans="1:17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87"/>
      <c r="M20" s="87"/>
      <c r="N20" s="70"/>
      <c r="O20" s="70"/>
      <c r="P20" s="70"/>
      <c r="Q20" s="70"/>
    </row>
    <row r="21" spans="1:17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</row>
    <row r="22" spans="1:17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17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</sheetData>
  <mergeCells count="2">
    <mergeCell ref="L14:M20"/>
    <mergeCell ref="D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1232-F478-4CB7-8E7A-39850D9775B2}">
  <dimension ref="D2:L24"/>
  <sheetViews>
    <sheetView showGridLines="0" showRowColHeaders="0" workbookViewId="0"/>
  </sheetViews>
  <sheetFormatPr defaultRowHeight="15" x14ac:dyDescent="0.25"/>
  <cols>
    <col min="4" max="4" width="17" bestFit="1" customWidth="1"/>
    <col min="5" max="5" width="19.140625" bestFit="1" customWidth="1"/>
    <col min="7" max="7" width="42.42578125" bestFit="1" customWidth="1"/>
    <col min="8" max="8" width="5.5703125" bestFit="1" customWidth="1"/>
    <col min="9" max="9" width="4.5703125" bestFit="1" customWidth="1"/>
    <col min="10" max="10" width="15.140625" bestFit="1" customWidth="1"/>
    <col min="11" max="11" width="27.28515625" bestFit="1" customWidth="1"/>
    <col min="12" max="12" width="31.42578125" customWidth="1"/>
  </cols>
  <sheetData>
    <row r="2" spans="4:12" x14ac:dyDescent="0.25">
      <c r="D2" s="130" t="s">
        <v>94</v>
      </c>
      <c r="E2" s="130"/>
    </row>
    <row r="3" spans="4:12" x14ac:dyDescent="0.25">
      <c r="D3" s="36" t="s">
        <v>103</v>
      </c>
      <c r="E3" s="39">
        <v>1511205519</v>
      </c>
      <c r="H3" s="153" t="s">
        <v>100</v>
      </c>
      <c r="I3" s="154"/>
      <c r="J3" s="154"/>
      <c r="K3" s="154"/>
      <c r="L3" s="155"/>
    </row>
    <row r="4" spans="4:12" x14ac:dyDescent="0.25">
      <c r="D4" s="36" t="s">
        <v>93</v>
      </c>
      <c r="E4" s="156">
        <f>E5/3.63</f>
        <v>1.2797238000669942</v>
      </c>
      <c r="G4" s="45" t="s">
        <v>92</v>
      </c>
      <c r="H4" s="8" t="s">
        <v>88</v>
      </c>
      <c r="I4" s="139" t="s">
        <v>89</v>
      </c>
      <c r="J4" s="139" t="s">
        <v>99</v>
      </c>
      <c r="K4" s="8" t="s">
        <v>101</v>
      </c>
      <c r="L4" s="8" t="s">
        <v>102</v>
      </c>
    </row>
    <row r="5" spans="4:12" x14ac:dyDescent="0.25">
      <c r="D5" s="36" t="s">
        <v>88</v>
      </c>
      <c r="E5" s="43">
        <f>Indicadores!B50</f>
        <v>4.6453973942431883</v>
      </c>
      <c r="G5" s="143" t="s">
        <v>94</v>
      </c>
      <c r="H5" s="150">
        <f>Indicadores!B50</f>
        <v>4.6453973942431883</v>
      </c>
      <c r="I5" s="151">
        <f>Indicadores!B51</f>
        <v>0.15047016856661771</v>
      </c>
      <c r="J5" s="151">
        <f>Indicadores!L27</f>
        <v>0.43377862595419847</v>
      </c>
      <c r="K5" s="150">
        <v>0.4</v>
      </c>
      <c r="L5" s="146">
        <v>7.6999999999999999E-2</v>
      </c>
    </row>
    <row r="6" spans="4:12" x14ac:dyDescent="0.25">
      <c r="D6" s="36" t="s">
        <v>104</v>
      </c>
      <c r="E6" s="43">
        <v>664500000</v>
      </c>
      <c r="G6" s="137" t="s">
        <v>95</v>
      </c>
      <c r="H6" s="142">
        <f>39.36/3.37</f>
        <v>11.679525222551929</v>
      </c>
      <c r="I6" s="66">
        <f>(2300000000/24931859000)</f>
        <v>9.2251444226441354E-2</v>
      </c>
      <c r="J6" s="66">
        <v>0.32700000000000001</v>
      </c>
      <c r="K6" s="138">
        <v>0.57999999999999996</v>
      </c>
      <c r="L6" s="149">
        <v>6.5000000000000002E-2</v>
      </c>
    </row>
    <row r="7" spans="4:12" x14ac:dyDescent="0.25">
      <c r="D7" s="36" t="s">
        <v>105</v>
      </c>
      <c r="E7" s="136">
        <f>H10</f>
        <v>8.2974328344399808</v>
      </c>
      <c r="G7" s="143" t="s">
        <v>96</v>
      </c>
      <c r="H7" s="144">
        <f>12.08/1.41</f>
        <v>8.5673758865248235</v>
      </c>
      <c r="I7" s="145">
        <f>(537600000/6759958000)</f>
        <v>7.9527121322351416E-2</v>
      </c>
      <c r="J7" s="145">
        <v>0.35899999999999999</v>
      </c>
      <c r="K7" s="144">
        <v>0.41</v>
      </c>
      <c r="L7" s="146">
        <v>7.4999999999999997E-2</v>
      </c>
    </row>
    <row r="8" spans="4:12" x14ac:dyDescent="0.25">
      <c r="D8" s="157" t="s">
        <v>30</v>
      </c>
      <c r="E8" s="41">
        <f>E6*E7</f>
        <v>5513644118.4853668</v>
      </c>
      <c r="G8" s="137" t="s">
        <v>97</v>
      </c>
      <c r="H8" s="147" t="s">
        <v>98</v>
      </c>
      <c r="I8" s="148">
        <f>(-48852000/2881948000)</f>
        <v>-1.6951034508603208E-2</v>
      </c>
      <c r="J8" s="148">
        <v>0.19600000000000001</v>
      </c>
      <c r="K8" s="152">
        <v>2.54</v>
      </c>
      <c r="L8" s="141">
        <v>0.16</v>
      </c>
    </row>
    <row r="9" spans="4:12" x14ac:dyDescent="0.25">
      <c r="E9" s="158">
        <f>E8/E3</f>
        <v>3.6485071349751781</v>
      </c>
    </row>
    <row r="10" spans="4:12" x14ac:dyDescent="0.25">
      <c r="G10" s="25" t="s">
        <v>16</v>
      </c>
      <c r="H10" s="61">
        <f>AVERAGE(H5:H7)</f>
        <v>8.2974328344399808</v>
      </c>
    </row>
    <row r="11" spans="4:12" x14ac:dyDescent="0.25">
      <c r="G11" s="25" t="s">
        <v>106</v>
      </c>
      <c r="H11" s="61">
        <f>MEDIAN(H5:H7)</f>
        <v>8.5673758865248235</v>
      </c>
      <c r="L11" s="140"/>
    </row>
    <row r="15" spans="4:12" ht="15" customHeight="1" x14ac:dyDescent="0.25">
      <c r="D15" s="91" t="s">
        <v>107</v>
      </c>
      <c r="E15" s="91"/>
      <c r="F15" s="91"/>
      <c r="G15" s="85"/>
    </row>
    <row r="16" spans="4:12" x14ac:dyDescent="0.25">
      <c r="D16" s="91"/>
      <c r="E16" s="91"/>
      <c r="F16" s="91"/>
      <c r="G16" s="85"/>
    </row>
    <row r="17" spans="4:7" x14ac:dyDescent="0.25">
      <c r="D17" s="91"/>
      <c r="E17" s="91"/>
      <c r="F17" s="91"/>
      <c r="G17" s="85"/>
    </row>
    <row r="18" spans="4:7" x14ac:dyDescent="0.25">
      <c r="D18" s="91"/>
      <c r="E18" s="91"/>
      <c r="F18" s="91"/>
      <c r="G18" s="85"/>
    </row>
    <row r="19" spans="4:7" x14ac:dyDescent="0.25">
      <c r="D19" s="91"/>
      <c r="E19" s="91"/>
      <c r="F19" s="91"/>
      <c r="G19" s="85"/>
    </row>
    <row r="20" spans="4:7" x14ac:dyDescent="0.25">
      <c r="D20" s="91"/>
      <c r="E20" s="91"/>
      <c r="F20" s="91"/>
      <c r="G20" s="85"/>
    </row>
    <row r="21" spans="4:7" x14ac:dyDescent="0.25">
      <c r="D21" s="91"/>
      <c r="E21" s="91"/>
      <c r="F21" s="91"/>
      <c r="G21" s="85"/>
    </row>
    <row r="22" spans="4:7" x14ac:dyDescent="0.25">
      <c r="D22" s="91"/>
      <c r="E22" s="91"/>
      <c r="F22" s="91"/>
      <c r="G22" s="85"/>
    </row>
    <row r="23" spans="4:7" x14ac:dyDescent="0.25">
      <c r="D23" s="91"/>
      <c r="E23" s="91"/>
      <c r="F23" s="91"/>
    </row>
    <row r="24" spans="4:7" x14ac:dyDescent="0.25">
      <c r="D24" s="91"/>
      <c r="E24" s="91"/>
      <c r="F24" s="91"/>
    </row>
  </sheetData>
  <mergeCells count="3">
    <mergeCell ref="H3:L3"/>
    <mergeCell ref="D2:E2"/>
    <mergeCell ref="D15:F24"/>
  </mergeCells>
  <phoneticPr fontId="23" type="noConversion"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3:G26"/>
  <sheetViews>
    <sheetView showGridLines="0" showRowColHeaders="0" workbookViewId="0"/>
  </sheetViews>
  <sheetFormatPr defaultRowHeight="15" x14ac:dyDescent="0.25"/>
  <cols>
    <col min="4" max="4" width="23.85546875" bestFit="1" customWidth="1"/>
    <col min="5" max="5" width="21.85546875" bestFit="1" customWidth="1"/>
  </cols>
  <sheetData>
    <row r="3" spans="4:7" x14ac:dyDescent="0.25">
      <c r="D3" s="8" t="s">
        <v>80</v>
      </c>
      <c r="E3" s="8" t="s">
        <v>12</v>
      </c>
    </row>
    <row r="4" spans="4:7" x14ac:dyDescent="0.25">
      <c r="D4" s="8" t="s">
        <v>78</v>
      </c>
      <c r="E4" s="44">
        <f>VI!L14</f>
        <v>9.529097132666605</v>
      </c>
    </row>
    <row r="5" spans="4:7" x14ac:dyDescent="0.25">
      <c r="D5" s="8" t="s">
        <v>79</v>
      </c>
      <c r="E5" s="44">
        <f>WACC!I3</f>
        <v>5.178873357462904</v>
      </c>
    </row>
    <row r="6" spans="4:7" x14ac:dyDescent="0.25">
      <c r="D6" s="62" t="s">
        <v>42</v>
      </c>
      <c r="E6" s="63">
        <f>'Fluxo de caixa'!H20</f>
        <v>26.82303355411246</v>
      </c>
    </row>
    <row r="7" spans="4:7" x14ac:dyDescent="0.25">
      <c r="D7" s="62" t="s">
        <v>50</v>
      </c>
      <c r="E7" s="63">
        <f>'Valor de mercado'!G20</f>
        <v>2.3184523634405814</v>
      </c>
      <c r="F7" s="32"/>
    </row>
    <row r="8" spans="4:7" x14ac:dyDescent="0.25">
      <c r="D8" s="62" t="s">
        <v>91</v>
      </c>
      <c r="E8" s="63">
        <f>Múltiplos!E9</f>
        <v>3.6485071349751781</v>
      </c>
      <c r="F8" s="32"/>
    </row>
    <row r="10" spans="4:7" ht="15" customHeight="1" x14ac:dyDescent="0.25">
      <c r="D10" s="94" t="s">
        <v>108</v>
      </c>
      <c r="E10" s="159"/>
      <c r="F10" s="159"/>
      <c r="G10" s="95"/>
    </row>
    <row r="11" spans="4:7" x14ac:dyDescent="0.25">
      <c r="D11" s="96"/>
      <c r="E11" s="160"/>
      <c r="F11" s="160"/>
      <c r="G11" s="97"/>
    </row>
    <row r="12" spans="4:7" x14ac:dyDescent="0.25">
      <c r="D12" s="96"/>
      <c r="E12" s="160"/>
      <c r="F12" s="160"/>
      <c r="G12" s="97"/>
    </row>
    <row r="13" spans="4:7" x14ac:dyDescent="0.25">
      <c r="D13" s="96"/>
      <c r="E13" s="160"/>
      <c r="F13" s="160"/>
      <c r="G13" s="97"/>
    </row>
    <row r="14" spans="4:7" x14ac:dyDescent="0.25">
      <c r="D14" s="96"/>
      <c r="E14" s="160"/>
      <c r="F14" s="160"/>
      <c r="G14" s="97"/>
    </row>
    <row r="15" spans="4:7" x14ac:dyDescent="0.25">
      <c r="D15" s="96"/>
      <c r="E15" s="160"/>
      <c r="F15" s="160"/>
      <c r="G15" s="97"/>
    </row>
    <row r="16" spans="4:7" x14ac:dyDescent="0.25">
      <c r="D16" s="96"/>
      <c r="E16" s="160"/>
      <c r="F16" s="160"/>
      <c r="G16" s="97"/>
    </row>
    <row r="17" spans="4:7" x14ac:dyDescent="0.25">
      <c r="D17" s="96"/>
      <c r="E17" s="160"/>
      <c r="F17" s="160"/>
      <c r="G17" s="97"/>
    </row>
    <row r="18" spans="4:7" x14ac:dyDescent="0.25">
      <c r="D18" s="96"/>
      <c r="E18" s="160"/>
      <c r="F18" s="160"/>
      <c r="G18" s="97"/>
    </row>
    <row r="19" spans="4:7" x14ac:dyDescent="0.25">
      <c r="D19" s="96"/>
      <c r="E19" s="160"/>
      <c r="F19" s="160"/>
      <c r="G19" s="97"/>
    </row>
    <row r="20" spans="4:7" x14ac:dyDescent="0.25">
      <c r="D20" s="96"/>
      <c r="E20" s="160"/>
      <c r="F20" s="160"/>
      <c r="G20" s="97"/>
    </row>
    <row r="21" spans="4:7" x14ac:dyDescent="0.25">
      <c r="D21" s="96"/>
      <c r="E21" s="160"/>
      <c r="F21" s="160"/>
      <c r="G21" s="97"/>
    </row>
    <row r="22" spans="4:7" x14ac:dyDescent="0.25">
      <c r="D22" s="96"/>
      <c r="E22" s="160"/>
      <c r="F22" s="160"/>
      <c r="G22" s="97"/>
    </row>
    <row r="23" spans="4:7" x14ac:dyDescent="0.25">
      <c r="D23" s="96"/>
      <c r="E23" s="160"/>
      <c r="F23" s="160"/>
      <c r="G23" s="97"/>
    </row>
    <row r="24" spans="4:7" x14ac:dyDescent="0.25">
      <c r="D24" s="96"/>
      <c r="E24" s="160"/>
      <c r="F24" s="160"/>
      <c r="G24" s="97"/>
    </row>
    <row r="25" spans="4:7" x14ac:dyDescent="0.25">
      <c r="D25" s="96"/>
      <c r="E25" s="160"/>
      <c r="F25" s="160"/>
      <c r="G25" s="97"/>
    </row>
    <row r="26" spans="4:7" x14ac:dyDescent="0.25">
      <c r="D26" s="98"/>
      <c r="E26" s="161"/>
      <c r="F26" s="161"/>
      <c r="G26" s="99"/>
    </row>
  </sheetData>
  <mergeCells count="1">
    <mergeCell ref="D10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C7B5-7288-447D-B010-A2EC7DBFFA12}">
  <dimension ref="A5:AD51"/>
  <sheetViews>
    <sheetView showGridLines="0" showRowColHeaders="0" zoomScaleNormal="100" workbookViewId="0"/>
  </sheetViews>
  <sheetFormatPr defaultRowHeight="15" x14ac:dyDescent="0.25"/>
  <cols>
    <col min="1" max="1" width="24.28515625" bestFit="1" customWidth="1"/>
    <col min="2" max="12" width="5" bestFit="1" customWidth="1"/>
    <col min="13" max="13" width="15.7109375" bestFit="1" customWidth="1"/>
    <col min="16" max="16" width="24.28515625" bestFit="1" customWidth="1"/>
    <col min="17" max="21" width="5.5703125" bestFit="1" customWidth="1"/>
    <col min="22" max="22" width="5" bestFit="1" customWidth="1"/>
    <col min="23" max="25" width="5.5703125" bestFit="1" customWidth="1"/>
    <col min="26" max="27" width="5" bestFit="1" customWidth="1"/>
    <col min="28" max="28" width="17.42578125" bestFit="1" customWidth="1"/>
  </cols>
  <sheetData>
    <row r="5" spans="1:30" x14ac:dyDescent="0.25">
      <c r="A5" s="36" t="s">
        <v>24</v>
      </c>
      <c r="B5" s="8">
        <v>2011</v>
      </c>
      <c r="C5" s="8">
        <v>2012</v>
      </c>
      <c r="D5" s="8">
        <v>2013</v>
      </c>
      <c r="E5" s="8">
        <v>2014</v>
      </c>
      <c r="F5" s="8">
        <v>2015</v>
      </c>
      <c r="G5" s="8">
        <v>2016</v>
      </c>
      <c r="H5" s="8">
        <v>2017</v>
      </c>
      <c r="I5" s="8">
        <v>2018</v>
      </c>
      <c r="J5" s="8">
        <v>2019</v>
      </c>
      <c r="K5" s="8">
        <v>2020</v>
      </c>
      <c r="L5" s="8">
        <v>2021</v>
      </c>
      <c r="M5" s="8" t="s">
        <v>67</v>
      </c>
      <c r="P5" s="36" t="s">
        <v>24</v>
      </c>
      <c r="Q5" s="8">
        <v>2011</v>
      </c>
      <c r="R5" s="8">
        <v>2012</v>
      </c>
      <c r="S5" s="8">
        <v>2013</v>
      </c>
      <c r="T5" s="8">
        <v>2014</v>
      </c>
      <c r="U5" s="8">
        <v>2015</v>
      </c>
      <c r="V5" s="8">
        <v>2016</v>
      </c>
      <c r="W5" s="8">
        <v>2017</v>
      </c>
      <c r="X5" s="8">
        <v>2018</v>
      </c>
      <c r="Y5" s="8">
        <v>2019</v>
      </c>
      <c r="Z5" s="8">
        <v>2020</v>
      </c>
      <c r="AA5" s="8">
        <v>2021</v>
      </c>
      <c r="AB5" s="100" t="s">
        <v>74</v>
      </c>
    </row>
    <row r="6" spans="1:30" x14ac:dyDescent="0.25">
      <c r="A6" s="36" t="s">
        <v>66</v>
      </c>
      <c r="B6" s="65">
        <v>1742</v>
      </c>
      <c r="C6" s="65">
        <v>2123</v>
      </c>
      <c r="D6" s="65">
        <v>2370</v>
      </c>
      <c r="E6" s="65">
        <v>2617</v>
      </c>
      <c r="F6" s="65">
        <v>2971</v>
      </c>
      <c r="G6" s="65">
        <v>3478</v>
      </c>
      <c r="H6" s="65">
        <v>3869</v>
      </c>
      <c r="I6" s="65">
        <v>4162</v>
      </c>
      <c r="J6" s="65">
        <v>4723</v>
      </c>
      <c r="K6" s="65">
        <v>4800</v>
      </c>
      <c r="L6" s="65">
        <v>5240</v>
      </c>
      <c r="M6" s="66">
        <f>L6/B6</f>
        <v>3.0080367393800231</v>
      </c>
      <c r="P6" s="36" t="s">
        <v>69</v>
      </c>
      <c r="Q6" s="65">
        <v>1015</v>
      </c>
      <c r="R6" s="65">
        <v>1304</v>
      </c>
      <c r="S6" s="65">
        <v>1428</v>
      </c>
      <c r="T6" s="65">
        <v>1501</v>
      </c>
      <c r="U6" s="65">
        <v>1626</v>
      </c>
      <c r="V6" s="65">
        <v>2032</v>
      </c>
      <c r="W6" s="65">
        <v>2313</v>
      </c>
      <c r="X6" s="65">
        <v>2482</v>
      </c>
      <c r="Y6" s="65">
        <v>2863</v>
      </c>
      <c r="Z6" s="65">
        <v>2878</v>
      </c>
      <c r="AA6" s="65">
        <v>3153</v>
      </c>
      <c r="AB6" s="101"/>
    </row>
    <row r="7" spans="1:30" x14ac:dyDescent="0.25">
      <c r="P7" s="36" t="s">
        <v>68</v>
      </c>
      <c r="Q7" s="66">
        <f>Q6/B6</f>
        <v>0.5826636050516647</v>
      </c>
      <c r="R7" s="66">
        <f t="shared" ref="R7:AA7" si="0">R6/C6</f>
        <v>0.61422515308525671</v>
      </c>
      <c r="S7" s="66">
        <f t="shared" si="0"/>
        <v>0.60253164556962024</v>
      </c>
      <c r="T7" s="66">
        <f t="shared" si="0"/>
        <v>0.57355750859763088</v>
      </c>
      <c r="U7" s="66">
        <f t="shared" si="0"/>
        <v>0.54729047458768088</v>
      </c>
      <c r="V7" s="66">
        <f t="shared" si="0"/>
        <v>0.58424381828637151</v>
      </c>
      <c r="W7" s="66">
        <f t="shared" si="0"/>
        <v>0.5978288963556474</v>
      </c>
      <c r="X7" s="66">
        <f t="shared" si="0"/>
        <v>0.5963479096588179</v>
      </c>
      <c r="Y7" s="66">
        <f t="shared" si="0"/>
        <v>0.60618251111581622</v>
      </c>
      <c r="Z7" s="66">
        <f t="shared" si="0"/>
        <v>0.59958333333333336</v>
      </c>
      <c r="AA7" s="66">
        <f t="shared" si="0"/>
        <v>0.60171755725190834</v>
      </c>
      <c r="AB7" s="68">
        <f>AVERAGE(Q7:AA7)</f>
        <v>0.59147021935397703</v>
      </c>
    </row>
    <row r="8" spans="1:30" x14ac:dyDescent="0.25">
      <c r="M8" s="91" t="s">
        <v>72</v>
      </c>
      <c r="N8" s="91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30" ht="15" customHeight="1" x14ac:dyDescent="0.25">
      <c r="M9" s="91"/>
      <c r="N9" s="91"/>
      <c r="AC9" s="94" t="s">
        <v>73</v>
      </c>
      <c r="AD9" s="95"/>
    </row>
    <row r="10" spans="1:30" x14ac:dyDescent="0.25">
      <c r="M10" s="91"/>
      <c r="N10" s="91"/>
      <c r="AC10" s="96"/>
      <c r="AD10" s="97"/>
    </row>
    <row r="11" spans="1:30" x14ac:dyDescent="0.25">
      <c r="M11" s="91"/>
      <c r="N11" s="91"/>
      <c r="AC11" s="96"/>
      <c r="AD11" s="97"/>
    </row>
    <row r="12" spans="1:30" x14ac:dyDescent="0.25">
      <c r="M12" s="91"/>
      <c r="N12" s="91"/>
      <c r="AC12" s="96"/>
      <c r="AD12" s="97"/>
    </row>
    <row r="13" spans="1:30" x14ac:dyDescent="0.25">
      <c r="M13" s="91"/>
      <c r="N13" s="91"/>
      <c r="AC13" s="96"/>
      <c r="AD13" s="97"/>
    </row>
    <row r="14" spans="1:30" x14ac:dyDescent="0.25">
      <c r="M14" s="91"/>
      <c r="N14" s="91"/>
      <c r="AC14" s="96"/>
      <c r="AD14" s="97"/>
    </row>
    <row r="15" spans="1:30" x14ac:dyDescent="0.25">
      <c r="M15" s="91"/>
      <c r="N15" s="91"/>
      <c r="AC15" s="96"/>
      <c r="AD15" s="97"/>
    </row>
    <row r="16" spans="1:30" x14ac:dyDescent="0.25">
      <c r="AC16" s="98"/>
      <c r="AD16" s="99"/>
    </row>
    <row r="23" spans="1:30" x14ac:dyDescent="0.25">
      <c r="O23" s="50"/>
    </row>
    <row r="24" spans="1:30" x14ac:dyDescent="0.25">
      <c r="O24" s="50"/>
    </row>
    <row r="25" spans="1:30" ht="15" customHeight="1" x14ac:dyDescent="0.25">
      <c r="A25" s="36" t="s">
        <v>24</v>
      </c>
      <c r="B25" s="8">
        <v>2011</v>
      </c>
      <c r="C25" s="8">
        <v>2012</v>
      </c>
      <c r="D25" s="8">
        <v>2013</v>
      </c>
      <c r="E25" s="8">
        <v>2014</v>
      </c>
      <c r="F25" s="8">
        <v>2015</v>
      </c>
      <c r="G25" s="8">
        <v>2016</v>
      </c>
      <c r="H25" s="8">
        <v>2017</v>
      </c>
      <c r="I25" s="8">
        <v>2018</v>
      </c>
      <c r="J25" s="8">
        <v>2019</v>
      </c>
      <c r="K25" s="8">
        <v>2020</v>
      </c>
      <c r="L25" s="8">
        <v>2021</v>
      </c>
      <c r="M25" s="91" t="s">
        <v>77</v>
      </c>
      <c r="N25" s="91"/>
      <c r="P25" s="36" t="s">
        <v>24</v>
      </c>
      <c r="Q25" s="8">
        <v>2013</v>
      </c>
      <c r="R25" s="8">
        <v>2014</v>
      </c>
      <c r="S25" s="8">
        <v>2015</v>
      </c>
      <c r="T25" s="8">
        <v>2016</v>
      </c>
      <c r="U25" s="8">
        <v>2017</v>
      </c>
      <c r="V25" s="8">
        <v>2018</v>
      </c>
      <c r="W25" s="8">
        <v>2019</v>
      </c>
      <c r="X25" s="8">
        <v>2020</v>
      </c>
      <c r="Y25" s="8">
        <v>2021</v>
      </c>
      <c r="Z25" s="92"/>
      <c r="AA25" s="92"/>
      <c r="AB25" s="92"/>
      <c r="AC25" s="85"/>
    </row>
    <row r="26" spans="1:30" x14ac:dyDescent="0.25">
      <c r="A26" s="36" t="s">
        <v>75</v>
      </c>
      <c r="B26" s="65">
        <v>590</v>
      </c>
      <c r="C26" s="65">
        <v>721</v>
      </c>
      <c r="D26" s="65">
        <v>803</v>
      </c>
      <c r="E26" s="65">
        <v>836</v>
      </c>
      <c r="F26" s="65">
        <v>894</v>
      </c>
      <c r="G26" s="65">
        <v>1171</v>
      </c>
      <c r="H26" s="65">
        <v>1384</v>
      </c>
      <c r="I26" s="65">
        <v>1642</v>
      </c>
      <c r="J26" s="65">
        <v>1972</v>
      </c>
      <c r="K26" s="65">
        <v>1932</v>
      </c>
      <c r="L26" s="65">
        <v>2273</v>
      </c>
      <c r="M26" s="91"/>
      <c r="N26" s="91"/>
      <c r="P26" s="36" t="s">
        <v>82</v>
      </c>
      <c r="Q26" s="65">
        <v>1319</v>
      </c>
      <c r="R26" s="65">
        <v>1803</v>
      </c>
      <c r="S26" s="65">
        <v>2172</v>
      </c>
      <c r="T26" s="65">
        <v>2073</v>
      </c>
      <c r="U26" s="65">
        <v>2182</v>
      </c>
      <c r="V26" s="65">
        <v>2445</v>
      </c>
      <c r="W26" s="65">
        <v>2806</v>
      </c>
      <c r="X26" s="65">
        <v>2773</v>
      </c>
      <c r="Y26" s="65">
        <v>3137</v>
      </c>
      <c r="Z26" s="92"/>
      <c r="AA26" s="92"/>
      <c r="AB26" s="92"/>
      <c r="AC26" s="85"/>
    </row>
    <row r="27" spans="1:30" x14ac:dyDescent="0.25">
      <c r="A27" s="36" t="s">
        <v>76</v>
      </c>
      <c r="B27" s="66">
        <f t="shared" ref="B27:G27" si="1">B26/B6</f>
        <v>0.338691159586682</v>
      </c>
      <c r="C27" s="66">
        <f t="shared" si="1"/>
        <v>0.33961375412152617</v>
      </c>
      <c r="D27" s="66">
        <f t="shared" si="1"/>
        <v>0.33881856540084387</v>
      </c>
      <c r="E27" s="66">
        <f t="shared" si="1"/>
        <v>0.31944975162399697</v>
      </c>
      <c r="F27" s="66">
        <f t="shared" si="1"/>
        <v>0.30090878492090206</v>
      </c>
      <c r="G27" s="66">
        <f t="shared" si="1"/>
        <v>0.3366877515813686</v>
      </c>
      <c r="H27" s="66">
        <f>H26/H6</f>
        <v>0.35771517187903851</v>
      </c>
      <c r="I27" s="66">
        <f t="shared" ref="I27:L27" si="2">I26/I6</f>
        <v>0.39452186448822679</v>
      </c>
      <c r="J27" s="66">
        <f t="shared" si="2"/>
        <v>0.41753123015032817</v>
      </c>
      <c r="K27" s="66">
        <f t="shared" si="2"/>
        <v>0.40250000000000002</v>
      </c>
      <c r="L27" s="66">
        <f t="shared" si="2"/>
        <v>0.43377862595419847</v>
      </c>
      <c r="M27" s="90">
        <f>AVERAGE(B27:L27)</f>
        <v>0.36183787815519197</v>
      </c>
      <c r="N27" s="90"/>
      <c r="P27" s="36" t="s">
        <v>81</v>
      </c>
      <c r="Q27" s="67">
        <f>Q26/B26</f>
        <v>2.2355932203389832</v>
      </c>
      <c r="R27" s="67">
        <f t="shared" ref="R27:Y27" si="3">R26/C26</f>
        <v>2.5006934812760058</v>
      </c>
      <c r="S27" s="67">
        <f t="shared" si="3"/>
        <v>2.704856787048568</v>
      </c>
      <c r="T27" s="67">
        <f t="shared" si="3"/>
        <v>2.4796650717703348</v>
      </c>
      <c r="U27" s="67">
        <f t="shared" si="3"/>
        <v>2.4407158836689038</v>
      </c>
      <c r="V27" s="67">
        <f t="shared" si="3"/>
        <v>2.0879590093936806</v>
      </c>
      <c r="W27" s="67">
        <f t="shared" si="3"/>
        <v>2.0274566473988438</v>
      </c>
      <c r="X27" s="67">
        <f t="shared" si="3"/>
        <v>1.6887941534713764</v>
      </c>
      <c r="Y27" s="67">
        <f t="shared" si="3"/>
        <v>1.5907707910750508</v>
      </c>
      <c r="Z27" s="93"/>
      <c r="AA27" s="93"/>
      <c r="AB27" s="93"/>
      <c r="AC27" s="69"/>
    </row>
    <row r="28" spans="1:30" x14ac:dyDescent="0.25">
      <c r="AA28" s="86"/>
      <c r="AB28" s="86"/>
    </row>
    <row r="29" spans="1:30" x14ac:dyDescent="0.25">
      <c r="M29" s="91" t="s">
        <v>84</v>
      </c>
      <c r="N29" s="91"/>
      <c r="AA29" s="86"/>
      <c r="AB29" s="86"/>
      <c r="AC29" s="91" t="s">
        <v>83</v>
      </c>
      <c r="AD29" s="91"/>
    </row>
    <row r="30" spans="1:30" x14ac:dyDescent="0.25">
      <c r="M30" s="91"/>
      <c r="N30" s="91"/>
      <c r="AA30" s="86"/>
      <c r="AB30" s="86"/>
      <c r="AC30" s="91"/>
      <c r="AD30" s="91"/>
    </row>
    <row r="31" spans="1:30" x14ac:dyDescent="0.25">
      <c r="M31" s="91"/>
      <c r="N31" s="91"/>
      <c r="AA31" s="86"/>
      <c r="AB31" s="86"/>
      <c r="AC31" s="91"/>
      <c r="AD31" s="91"/>
    </row>
    <row r="32" spans="1:30" x14ac:dyDescent="0.25">
      <c r="M32" s="91"/>
      <c r="N32" s="91"/>
      <c r="AA32" s="86"/>
      <c r="AB32" s="86"/>
      <c r="AC32" s="91"/>
      <c r="AD32" s="91"/>
    </row>
    <row r="33" spans="1:30" x14ac:dyDescent="0.25">
      <c r="M33" s="91"/>
      <c r="N33" s="91"/>
      <c r="AA33" s="86"/>
      <c r="AB33" s="86"/>
      <c r="AC33" s="91"/>
      <c r="AD33" s="91"/>
    </row>
    <row r="34" spans="1:30" x14ac:dyDescent="0.25">
      <c r="M34" s="91"/>
      <c r="N34" s="91"/>
      <c r="AA34" s="86"/>
      <c r="AB34" s="86"/>
      <c r="AC34" s="91"/>
      <c r="AD34" s="91"/>
    </row>
    <row r="35" spans="1:30" x14ac:dyDescent="0.25">
      <c r="M35" s="91"/>
      <c r="N35" s="91"/>
      <c r="AA35" s="86"/>
      <c r="AB35" s="86"/>
      <c r="AC35" s="91"/>
      <c r="AD35" s="91"/>
    </row>
    <row r="36" spans="1:30" x14ac:dyDescent="0.25">
      <c r="M36" s="91"/>
      <c r="N36" s="91"/>
      <c r="AC36" s="91"/>
      <c r="AD36" s="91"/>
    </row>
    <row r="47" spans="1:30" x14ac:dyDescent="0.25">
      <c r="A47" s="135" t="s">
        <v>85</v>
      </c>
      <c r="B47" s="135"/>
      <c r="E47" s="91" t="s">
        <v>90</v>
      </c>
      <c r="F47" s="91"/>
      <c r="G47" s="91"/>
      <c r="H47" s="91"/>
      <c r="I47" s="91"/>
      <c r="J47" s="91"/>
      <c r="K47" s="91"/>
      <c r="L47" s="91"/>
    </row>
    <row r="48" spans="1:30" x14ac:dyDescent="0.25">
      <c r="A48" s="45" t="s">
        <v>86</v>
      </c>
      <c r="B48" s="136">
        <f>VI!E10</f>
        <v>0.77926594708260855</v>
      </c>
      <c r="E48" s="91"/>
      <c r="F48" s="91"/>
      <c r="G48" s="91"/>
      <c r="H48" s="91"/>
      <c r="I48" s="91"/>
      <c r="J48" s="91"/>
      <c r="K48" s="91"/>
      <c r="L48" s="91"/>
    </row>
    <row r="49" spans="1:12" x14ac:dyDescent="0.25">
      <c r="A49" s="45" t="s">
        <v>87</v>
      </c>
      <c r="B49" s="136">
        <f>VI!E8</f>
        <v>5.178873357462904</v>
      </c>
      <c r="E49" s="91"/>
      <c r="F49" s="91"/>
      <c r="G49" s="91"/>
      <c r="H49" s="91"/>
      <c r="I49" s="91"/>
      <c r="J49" s="91"/>
      <c r="K49" s="91"/>
      <c r="L49" s="91"/>
    </row>
    <row r="50" spans="1:12" x14ac:dyDescent="0.25">
      <c r="A50" s="45" t="s">
        <v>88</v>
      </c>
      <c r="B50" s="36">
        <f>VI!M15/B48</f>
        <v>4.6453973942431883</v>
      </c>
      <c r="E50" s="91"/>
      <c r="F50" s="91"/>
      <c r="G50" s="91"/>
      <c r="H50" s="91"/>
      <c r="I50" s="91"/>
      <c r="J50" s="91"/>
      <c r="K50" s="91"/>
      <c r="L50" s="91"/>
    </row>
    <row r="51" spans="1:12" x14ac:dyDescent="0.25">
      <c r="A51" s="45" t="s">
        <v>89</v>
      </c>
      <c r="B51" s="64">
        <f>VI!J10/VI!J8</f>
        <v>0.15047016856661771</v>
      </c>
      <c r="E51" s="91"/>
      <c r="F51" s="91"/>
      <c r="G51" s="91"/>
      <c r="H51" s="91"/>
      <c r="I51" s="91"/>
      <c r="J51" s="91"/>
      <c r="K51" s="91"/>
      <c r="L51" s="91"/>
    </row>
  </sheetData>
  <mergeCells count="11">
    <mergeCell ref="M8:N15"/>
    <mergeCell ref="AC9:AD16"/>
    <mergeCell ref="AB5:AB6"/>
    <mergeCell ref="M25:N26"/>
    <mergeCell ref="A47:B47"/>
    <mergeCell ref="E47:L51"/>
    <mergeCell ref="M27:N27"/>
    <mergeCell ref="M29:N36"/>
    <mergeCell ref="AC29:AD36"/>
    <mergeCell ref="Z25:AB26"/>
    <mergeCell ref="Z27:AB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15"/>
  <sheetViews>
    <sheetView showGridLines="0" showRowColHeaders="0" workbookViewId="0"/>
  </sheetViews>
  <sheetFormatPr defaultRowHeight="15" x14ac:dyDescent="0.25"/>
  <cols>
    <col min="4" max="4" width="22.140625" bestFit="1" customWidth="1"/>
    <col min="5" max="5" width="7.28515625" bestFit="1" customWidth="1"/>
    <col min="6" max="6" width="8.140625" bestFit="1" customWidth="1"/>
    <col min="7" max="7" width="7.28515625" bestFit="1" customWidth="1"/>
    <col min="8" max="8" width="18" bestFit="1" customWidth="1"/>
    <col min="9" max="9" width="3" bestFit="1" customWidth="1"/>
    <col min="10" max="10" width="12.7109375" bestFit="1" customWidth="1"/>
    <col min="11" max="11" width="3" bestFit="1" customWidth="1"/>
    <col min="12" max="12" width="7.28515625" bestFit="1" customWidth="1"/>
    <col min="13" max="13" width="8.140625" bestFit="1" customWidth="1"/>
    <col min="14" max="14" width="7.28515625" bestFit="1" customWidth="1"/>
  </cols>
  <sheetData>
    <row r="3" spans="4:14" ht="19.5" thickBot="1" x14ac:dyDescent="0.35">
      <c r="D3" s="110" t="s">
        <v>0</v>
      </c>
      <c r="E3" s="111">
        <v>15</v>
      </c>
      <c r="F3" s="1" t="s">
        <v>1</v>
      </c>
    </row>
    <row r="4" spans="4:14" x14ac:dyDescent="0.25">
      <c r="D4" s="110"/>
      <c r="E4" s="112"/>
      <c r="F4" s="110">
        <f>E3*E5</f>
        <v>22.5</v>
      </c>
      <c r="J4" s="102" t="s">
        <v>51</v>
      </c>
      <c r="K4" s="103"/>
      <c r="L4" s="104"/>
    </row>
    <row r="5" spans="4:14" ht="15.75" thickBot="1" x14ac:dyDescent="0.3">
      <c r="D5" s="110" t="s">
        <v>2</v>
      </c>
      <c r="E5" s="111">
        <v>1.5</v>
      </c>
      <c r="F5" s="110"/>
      <c r="J5" s="105"/>
      <c r="K5" s="106"/>
      <c r="L5" s="107"/>
    </row>
    <row r="6" spans="4:14" x14ac:dyDescent="0.25">
      <c r="D6" s="110"/>
      <c r="E6" s="112"/>
      <c r="F6" s="110"/>
    </row>
    <row r="7" spans="4:14" x14ac:dyDescent="0.25">
      <c r="D7" s="4"/>
    </row>
    <row r="8" spans="4:14" x14ac:dyDescent="0.25">
      <c r="D8" s="113" t="s">
        <v>3</v>
      </c>
      <c r="E8" s="114">
        <f>J8/J9</f>
        <v>5.178873357462904</v>
      </c>
      <c r="H8" t="s">
        <v>8</v>
      </c>
      <c r="I8" s="5"/>
      <c r="J8" s="5">
        <v>7826342000</v>
      </c>
      <c r="K8" s="5"/>
    </row>
    <row r="9" spans="4:14" x14ac:dyDescent="0.25">
      <c r="D9" s="113"/>
      <c r="E9" s="114"/>
      <c r="H9" t="s">
        <v>9</v>
      </c>
      <c r="J9" s="5">
        <f>1007470260+503735259</f>
        <v>1511205519</v>
      </c>
    </row>
    <row r="10" spans="4:14" x14ac:dyDescent="0.25">
      <c r="D10" s="113" t="s">
        <v>4</v>
      </c>
      <c r="E10" s="115">
        <f>J10/J9</f>
        <v>0.77926594708260855</v>
      </c>
      <c r="H10" t="s">
        <v>10</v>
      </c>
      <c r="J10" s="5">
        <v>1177631000</v>
      </c>
    </row>
    <row r="11" spans="4:14" x14ac:dyDescent="0.25">
      <c r="D11" s="113"/>
      <c r="E11" s="115"/>
    </row>
    <row r="14" spans="4:14" ht="30" x14ac:dyDescent="0.25">
      <c r="D14" s="116" t="s">
        <v>5</v>
      </c>
      <c r="E14" s="117" t="s">
        <v>6</v>
      </c>
      <c r="F14" s="117">
        <f>F4</f>
        <v>22.5</v>
      </c>
      <c r="G14" s="108">
        <f>E8</f>
        <v>5.178873357462904</v>
      </c>
      <c r="H14" s="108">
        <f>E10</f>
        <v>0.77926594708260855</v>
      </c>
      <c r="I14" s="108" t="s">
        <v>6</v>
      </c>
      <c r="J14" s="108">
        <f>F14*G14*H14</f>
        <v>90.803692163794921</v>
      </c>
      <c r="K14" s="108" t="s">
        <v>6</v>
      </c>
      <c r="L14" s="109">
        <f>SQRT(J14)</f>
        <v>9.529097132666605</v>
      </c>
      <c r="M14" s="2" t="s">
        <v>7</v>
      </c>
      <c r="N14" s="6" t="s">
        <v>11</v>
      </c>
    </row>
    <row r="15" spans="4:14" ht="23.25" x14ac:dyDescent="0.25">
      <c r="D15" s="116"/>
      <c r="E15" s="117"/>
      <c r="F15" s="117"/>
      <c r="G15" s="108"/>
      <c r="H15" s="108"/>
      <c r="I15" s="108"/>
      <c r="J15" s="108"/>
      <c r="K15" s="108"/>
      <c r="L15" s="109"/>
      <c r="M15" s="3">
        <v>3.62</v>
      </c>
      <c r="N15" s="7">
        <f>L14/M15</f>
        <v>2.632347274217294</v>
      </c>
    </row>
  </sheetData>
  <mergeCells count="19">
    <mergeCell ref="G14:G15"/>
    <mergeCell ref="D3:D4"/>
    <mergeCell ref="E3:E4"/>
    <mergeCell ref="F4:F6"/>
    <mergeCell ref="D5:D6"/>
    <mergeCell ref="E5:E6"/>
    <mergeCell ref="D8:D9"/>
    <mergeCell ref="E8:E9"/>
    <mergeCell ref="D10:D11"/>
    <mergeCell ref="E10:E11"/>
    <mergeCell ref="D14:D15"/>
    <mergeCell ref="E14:E15"/>
    <mergeCell ref="F14:F15"/>
    <mergeCell ref="J4:L5"/>
    <mergeCell ref="H14:H15"/>
    <mergeCell ref="I14:I15"/>
    <mergeCell ref="J14:J15"/>
    <mergeCell ref="K14:K15"/>
    <mergeCell ref="L14:L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U78"/>
  <sheetViews>
    <sheetView showGridLines="0" showRowColHeaders="0" workbookViewId="0"/>
  </sheetViews>
  <sheetFormatPr defaultRowHeight="15" x14ac:dyDescent="0.25"/>
  <cols>
    <col min="4" max="4" width="9.28515625" bestFit="1" customWidth="1"/>
    <col min="5" max="5" width="9.85546875" bestFit="1" customWidth="1"/>
    <col min="6" max="7" width="11.28515625" bestFit="1" customWidth="1"/>
    <col min="10" max="10" width="12.85546875" bestFit="1" customWidth="1"/>
  </cols>
  <sheetData>
    <row r="1" spans="4:21" ht="15" customHeight="1" x14ac:dyDescent="0.25">
      <c r="E1" s="118" t="s">
        <v>15</v>
      </c>
      <c r="F1" s="118"/>
      <c r="G1" s="118"/>
      <c r="J1" s="119" t="s">
        <v>52</v>
      </c>
      <c r="K1" s="119"/>
    </row>
    <row r="2" spans="4:21" ht="15" customHeight="1" x14ac:dyDescent="0.25">
      <c r="E2" s="118"/>
      <c r="F2" s="118"/>
      <c r="G2" s="118"/>
      <c r="J2" s="119"/>
      <c r="K2" s="119"/>
    </row>
    <row r="3" spans="4:21" ht="15" customHeight="1" thickBot="1" x14ac:dyDescent="0.3">
      <c r="E3" s="118"/>
      <c r="F3" s="118"/>
      <c r="G3" s="118"/>
      <c r="J3" s="120"/>
      <c r="K3" s="120"/>
    </row>
    <row r="4" spans="4:21" ht="15" customHeight="1" x14ac:dyDescent="0.25">
      <c r="D4" s="9"/>
      <c r="E4" s="57" t="s">
        <v>13</v>
      </c>
      <c r="F4" s="14" t="s">
        <v>14</v>
      </c>
      <c r="G4" s="10" t="s">
        <v>17</v>
      </c>
      <c r="J4" s="16" t="s">
        <v>18</v>
      </c>
      <c r="K4" s="17">
        <f>K6+(K10*(K8-K6))</f>
        <v>2.5630270270270261E-2</v>
      </c>
      <c r="M4" s="121" t="s">
        <v>54</v>
      </c>
      <c r="N4" s="122"/>
      <c r="O4" s="122"/>
      <c r="P4" s="122"/>
      <c r="Q4" s="122"/>
      <c r="R4" s="122"/>
      <c r="S4" s="122"/>
      <c r="T4" s="122"/>
      <c r="U4" s="123"/>
    </row>
    <row r="5" spans="4:21" ht="15.75" customHeight="1" x14ac:dyDescent="0.25">
      <c r="D5" s="11">
        <v>37</v>
      </c>
      <c r="E5" s="58">
        <v>44531</v>
      </c>
      <c r="F5" s="12">
        <v>2.4899999999999999E-2</v>
      </c>
      <c r="G5" s="12">
        <v>1.84E-2</v>
      </c>
      <c r="J5" s="16"/>
      <c r="K5" s="18"/>
      <c r="M5" s="124"/>
      <c r="N5" s="92"/>
      <c r="O5" s="92"/>
      <c r="P5" s="92"/>
      <c r="Q5" s="92"/>
      <c r="R5" s="92"/>
      <c r="S5" s="92"/>
      <c r="T5" s="92"/>
      <c r="U5" s="125"/>
    </row>
    <row r="6" spans="4:21" ht="15.75" x14ac:dyDescent="0.25">
      <c r="D6" s="11">
        <v>36</v>
      </c>
      <c r="E6" s="58">
        <v>44501</v>
      </c>
      <c r="F6" s="13">
        <v>-1.3299999999999999E-2</v>
      </c>
      <c r="G6" s="12">
        <v>2.1499999999999998E-2</v>
      </c>
      <c r="J6" s="16" t="s">
        <v>19</v>
      </c>
      <c r="K6" s="17">
        <v>0.13750000000000001</v>
      </c>
      <c r="M6" s="124"/>
      <c r="N6" s="92"/>
      <c r="O6" s="92"/>
      <c r="P6" s="92"/>
      <c r="Q6" s="92"/>
      <c r="R6" s="92"/>
      <c r="S6" s="92"/>
      <c r="T6" s="92"/>
      <c r="U6" s="125"/>
    </row>
    <row r="7" spans="4:21" ht="15.75" x14ac:dyDescent="0.25">
      <c r="D7" s="11">
        <v>35</v>
      </c>
      <c r="E7" s="58">
        <v>44470</v>
      </c>
      <c r="F7" s="13">
        <v>-6.3899999999999998E-2</v>
      </c>
      <c r="G7" s="13">
        <v>-3.3799999999999997E-2</v>
      </c>
      <c r="J7" s="19"/>
      <c r="K7" s="20"/>
      <c r="M7" s="124"/>
      <c r="N7" s="92"/>
      <c r="O7" s="92"/>
      <c r="P7" s="92"/>
      <c r="Q7" s="92"/>
      <c r="R7" s="92"/>
      <c r="S7" s="92"/>
      <c r="T7" s="92"/>
      <c r="U7" s="125"/>
    </row>
    <row r="8" spans="4:21" ht="15.75" x14ac:dyDescent="0.25">
      <c r="D8" s="11">
        <v>34</v>
      </c>
      <c r="E8" s="58">
        <v>44440</v>
      </c>
      <c r="F8" s="13">
        <v>-6.6500000000000004E-2</v>
      </c>
      <c r="G8" s="13">
        <v>-1.5299999999999999E-2</v>
      </c>
      <c r="J8" s="19" t="s">
        <v>20</v>
      </c>
      <c r="K8" s="21">
        <f>F42</f>
        <v>7.4189189189189167E-3</v>
      </c>
      <c r="M8" s="124"/>
      <c r="N8" s="92"/>
      <c r="O8" s="92"/>
      <c r="P8" s="92"/>
      <c r="Q8" s="92"/>
      <c r="R8" s="92"/>
      <c r="S8" s="92"/>
      <c r="T8" s="92"/>
      <c r="U8" s="125"/>
    </row>
    <row r="9" spans="4:21" ht="15.75" x14ac:dyDescent="0.25">
      <c r="D9" s="11">
        <v>33</v>
      </c>
      <c r="E9" s="58">
        <v>44409</v>
      </c>
      <c r="F9" s="13">
        <v>-2.5899999999999999E-2</v>
      </c>
      <c r="G9" s="13">
        <v>-1.26E-2</v>
      </c>
      <c r="J9" s="16"/>
      <c r="K9" s="22"/>
      <c r="M9" s="124"/>
      <c r="N9" s="92"/>
      <c r="O9" s="92"/>
      <c r="P9" s="92"/>
      <c r="Q9" s="92"/>
      <c r="R9" s="92"/>
      <c r="S9" s="92"/>
      <c r="T9" s="92"/>
      <c r="U9" s="125"/>
    </row>
    <row r="10" spans="4:21" ht="15.75" x14ac:dyDescent="0.25">
      <c r="D10" s="11">
        <v>32</v>
      </c>
      <c r="E10" s="58">
        <v>44378</v>
      </c>
      <c r="F10" s="13">
        <v>-3.8600000000000002E-2</v>
      </c>
      <c r="G10" s="13">
        <v>-3.1099999999999999E-2</v>
      </c>
      <c r="J10" s="16" t="s">
        <v>21</v>
      </c>
      <c r="K10" s="22">
        <v>0.86</v>
      </c>
      <c r="M10" s="124"/>
      <c r="N10" s="92"/>
      <c r="O10" s="92"/>
      <c r="P10" s="92"/>
      <c r="Q10" s="92"/>
      <c r="R10" s="92"/>
      <c r="S10" s="92"/>
      <c r="T10" s="92"/>
      <c r="U10" s="125"/>
    </row>
    <row r="11" spans="4:21" ht="15.75" x14ac:dyDescent="0.25">
      <c r="D11" s="11">
        <v>31</v>
      </c>
      <c r="E11" s="58">
        <v>44348</v>
      </c>
      <c r="F11" s="12">
        <v>4.5999999999999999E-3</v>
      </c>
      <c r="G11" s="12">
        <v>3.2000000000000001E-2</v>
      </c>
      <c r="J11" s="23"/>
      <c r="K11" s="8"/>
      <c r="M11" s="124"/>
      <c r="N11" s="92"/>
      <c r="O11" s="92"/>
      <c r="P11" s="92"/>
      <c r="Q11" s="92"/>
      <c r="R11" s="92"/>
      <c r="S11" s="92"/>
      <c r="T11" s="92"/>
      <c r="U11" s="125"/>
    </row>
    <row r="12" spans="4:21" ht="15.75" x14ac:dyDescent="0.25">
      <c r="D12" s="11">
        <v>30</v>
      </c>
      <c r="E12" s="58">
        <v>44317</v>
      </c>
      <c r="F12" s="12">
        <v>5.9900000000000002E-2</v>
      </c>
      <c r="G12" s="13">
        <v>-4.6899999999999997E-2</v>
      </c>
      <c r="J12" s="16" t="s">
        <v>22</v>
      </c>
      <c r="K12" s="24">
        <v>2.5600000000000001E-2</v>
      </c>
      <c r="M12" s="124"/>
      <c r="N12" s="92"/>
      <c r="O12" s="92"/>
      <c r="P12" s="92"/>
      <c r="Q12" s="92"/>
      <c r="R12" s="92"/>
      <c r="S12" s="92"/>
      <c r="T12" s="92"/>
      <c r="U12" s="125"/>
    </row>
    <row r="13" spans="4:21" ht="16.5" thickBot="1" x14ac:dyDescent="0.3">
      <c r="D13" s="11">
        <v>29</v>
      </c>
      <c r="E13" s="58">
        <v>44287</v>
      </c>
      <c r="F13" s="12">
        <v>2.12E-2</v>
      </c>
      <c r="G13" s="13">
        <v>-3.6200000000000003E-2</v>
      </c>
      <c r="M13" s="126"/>
      <c r="N13" s="127"/>
      <c r="O13" s="127"/>
      <c r="P13" s="127"/>
      <c r="Q13" s="127"/>
      <c r="R13" s="127"/>
      <c r="S13" s="127"/>
      <c r="T13" s="127"/>
      <c r="U13" s="128"/>
    </row>
    <row r="14" spans="4:21" ht="15.75" x14ac:dyDescent="0.25">
      <c r="D14" s="11">
        <v>28</v>
      </c>
      <c r="E14" s="58">
        <v>44256</v>
      </c>
      <c r="F14" s="12">
        <v>6.0900000000000003E-2</v>
      </c>
      <c r="G14" s="12">
        <v>0.1162</v>
      </c>
    </row>
    <row r="15" spans="4:21" ht="15.75" x14ac:dyDescent="0.25">
      <c r="D15" s="11">
        <v>27</v>
      </c>
      <c r="E15" s="58">
        <v>44228</v>
      </c>
      <c r="F15" s="13">
        <v>-4.4999999999999998E-2</v>
      </c>
      <c r="G15" s="13">
        <v>-8.1199999999999994E-2</v>
      </c>
    </row>
    <row r="16" spans="4:21" ht="15.75" x14ac:dyDescent="0.25">
      <c r="D16" s="11">
        <v>26</v>
      </c>
      <c r="E16" s="58">
        <v>44197</v>
      </c>
      <c r="F16" s="13">
        <v>-3.5700000000000003E-2</v>
      </c>
      <c r="G16" s="13">
        <v>-0.1381</v>
      </c>
    </row>
    <row r="17" spans="4:7" ht="15.75" x14ac:dyDescent="0.25">
      <c r="D17" s="11">
        <v>25</v>
      </c>
      <c r="E17" s="58">
        <v>44166</v>
      </c>
      <c r="F17" s="12">
        <v>9.1899999999999996E-2</v>
      </c>
      <c r="G17" s="12">
        <v>2.1999999999999999E-2</v>
      </c>
    </row>
    <row r="18" spans="4:7" ht="15.75" x14ac:dyDescent="0.25">
      <c r="D18" s="11">
        <v>24</v>
      </c>
      <c r="E18" s="58">
        <v>44136</v>
      </c>
      <c r="F18" s="12">
        <v>0.15820000000000001</v>
      </c>
      <c r="G18" s="12">
        <v>4.8300000000000003E-2</v>
      </c>
    </row>
    <row r="19" spans="4:7" ht="15.75" x14ac:dyDescent="0.25">
      <c r="D19" s="11">
        <v>23</v>
      </c>
      <c r="E19" s="58">
        <v>44105</v>
      </c>
      <c r="F19" s="13">
        <v>-4.3E-3</v>
      </c>
      <c r="G19" s="13">
        <v>-6.4799999999999996E-2</v>
      </c>
    </row>
    <row r="20" spans="4:7" ht="15.75" x14ac:dyDescent="0.25">
      <c r="D20" s="11">
        <v>22</v>
      </c>
      <c r="E20" s="58">
        <v>44075</v>
      </c>
      <c r="F20" s="13">
        <v>-4.8599999999999997E-2</v>
      </c>
      <c r="G20" s="13">
        <v>-3.78E-2</v>
      </c>
    </row>
    <row r="21" spans="4:7" ht="15.75" x14ac:dyDescent="0.25">
      <c r="D21" s="11">
        <v>21</v>
      </c>
      <c r="E21" s="58">
        <v>44044</v>
      </c>
      <c r="F21" s="13">
        <v>-3.6200000000000003E-2</v>
      </c>
      <c r="G21" s="13">
        <v>-0.12709999999999999</v>
      </c>
    </row>
    <row r="22" spans="4:7" ht="15.75" x14ac:dyDescent="0.25">
      <c r="D22" s="11">
        <v>20</v>
      </c>
      <c r="E22" s="58">
        <v>44013</v>
      </c>
      <c r="F22" s="12">
        <v>8.3699999999999997E-2</v>
      </c>
      <c r="G22" s="13">
        <v>-1.9E-2</v>
      </c>
    </row>
    <row r="23" spans="4:7" ht="15.75" x14ac:dyDescent="0.25">
      <c r="D23" s="11">
        <v>19</v>
      </c>
      <c r="E23" s="58">
        <v>43983</v>
      </c>
      <c r="F23" s="12">
        <v>8.8800000000000004E-2</v>
      </c>
      <c r="G23" s="12">
        <v>0.18049999999999999</v>
      </c>
    </row>
    <row r="24" spans="4:7" ht="15.75" x14ac:dyDescent="0.25">
      <c r="D24" s="11">
        <v>18</v>
      </c>
      <c r="E24" s="58">
        <v>43952</v>
      </c>
      <c r="F24" s="12">
        <v>8.9899999999999994E-2</v>
      </c>
      <c r="G24" s="12">
        <v>6.83E-2</v>
      </c>
    </row>
    <row r="25" spans="4:7" ht="15.75" x14ac:dyDescent="0.25">
      <c r="D25" s="11">
        <v>17</v>
      </c>
      <c r="E25" s="58">
        <v>43922</v>
      </c>
      <c r="F25" s="12">
        <v>0.1133</v>
      </c>
      <c r="G25" s="12">
        <v>3.5299999999999998E-2</v>
      </c>
    </row>
    <row r="26" spans="4:7" ht="15.75" x14ac:dyDescent="0.25">
      <c r="D26" s="11">
        <v>16</v>
      </c>
      <c r="E26" s="58">
        <v>43891</v>
      </c>
      <c r="F26" s="13">
        <v>-0.31059999999999999</v>
      </c>
      <c r="G26" s="13">
        <v>-0.2712</v>
      </c>
    </row>
    <row r="27" spans="4:7" ht="15.75" x14ac:dyDescent="0.25">
      <c r="D27" s="11">
        <v>15</v>
      </c>
      <c r="E27" s="58">
        <v>43862</v>
      </c>
      <c r="F27" s="13">
        <v>-7.6200000000000004E-2</v>
      </c>
      <c r="G27" s="13">
        <v>-6.4999999999999997E-3</v>
      </c>
    </row>
    <row r="28" spans="4:7" ht="15.75" x14ac:dyDescent="0.25">
      <c r="D28" s="11">
        <v>14</v>
      </c>
      <c r="E28" s="58">
        <v>43831</v>
      </c>
      <c r="F28" s="13">
        <v>-2.0899999999999998E-2</v>
      </c>
      <c r="G28" s="13">
        <v>-0.04</v>
      </c>
    </row>
    <row r="29" spans="4:7" ht="15.75" x14ac:dyDescent="0.25">
      <c r="D29" s="11">
        <v>13</v>
      </c>
      <c r="E29" s="58">
        <v>43800</v>
      </c>
      <c r="F29" s="12">
        <v>6.59E-2</v>
      </c>
      <c r="G29" s="12">
        <v>0.13950000000000001</v>
      </c>
    </row>
    <row r="30" spans="4:7" ht="15.75" x14ac:dyDescent="0.25">
      <c r="D30" s="11">
        <v>12</v>
      </c>
      <c r="E30" s="58">
        <v>43770</v>
      </c>
      <c r="F30" s="12">
        <v>1.0800000000000001E-2</v>
      </c>
      <c r="G30" s="12">
        <v>1.8700000000000001E-2</v>
      </c>
    </row>
    <row r="31" spans="4:7" ht="15.75" x14ac:dyDescent="0.25">
      <c r="D31" s="11">
        <v>11</v>
      </c>
      <c r="E31" s="58">
        <v>43739</v>
      </c>
      <c r="F31" s="12">
        <v>2.1999999999999999E-2</v>
      </c>
      <c r="G31" s="12">
        <v>0.104</v>
      </c>
    </row>
    <row r="32" spans="4:7" ht="15.75" x14ac:dyDescent="0.25">
      <c r="D32" s="11">
        <v>10</v>
      </c>
      <c r="E32" s="58">
        <v>43709</v>
      </c>
      <c r="F32" s="12">
        <v>3.4799999999999998E-2</v>
      </c>
      <c r="G32" s="13">
        <v>-0.06</v>
      </c>
    </row>
    <row r="33" spans="4:18" ht="15.75" x14ac:dyDescent="0.25">
      <c r="D33" s="11">
        <v>9</v>
      </c>
      <c r="E33" s="58">
        <v>43678</v>
      </c>
      <c r="F33" s="13">
        <v>-3.8E-3</v>
      </c>
      <c r="G33" s="12">
        <v>9.9199999999999997E-2</v>
      </c>
    </row>
    <row r="34" spans="4:18" ht="15.75" x14ac:dyDescent="0.25">
      <c r="D34" s="11">
        <v>8</v>
      </c>
      <c r="E34" s="58">
        <v>43647</v>
      </c>
      <c r="F34" s="12">
        <v>8.9999999999999993E-3</v>
      </c>
      <c r="G34" s="12">
        <v>0.1099</v>
      </c>
    </row>
    <row r="35" spans="4:18" ht="15.75" x14ac:dyDescent="0.25">
      <c r="D35" s="11">
        <v>7</v>
      </c>
      <c r="E35" s="58">
        <v>43617</v>
      </c>
      <c r="F35" s="12">
        <v>3.7600000000000001E-2</v>
      </c>
      <c r="G35" s="12">
        <v>8.6499999999999994E-2</v>
      </c>
    </row>
    <row r="36" spans="4:18" ht="15.75" x14ac:dyDescent="0.25">
      <c r="D36" s="11">
        <v>6</v>
      </c>
      <c r="E36" s="58">
        <v>43586</v>
      </c>
      <c r="F36" s="12">
        <v>7.6E-3</v>
      </c>
      <c r="G36" s="13">
        <v>-4.99E-2</v>
      </c>
    </row>
    <row r="37" spans="4:18" ht="15.75" x14ac:dyDescent="0.25">
      <c r="D37" s="11">
        <v>5</v>
      </c>
      <c r="E37" s="58">
        <v>43556</v>
      </c>
      <c r="F37" s="12">
        <v>1.17E-2</v>
      </c>
      <c r="G37" s="12">
        <v>3.8699999999999998E-2</v>
      </c>
    </row>
    <row r="38" spans="4:18" ht="15.75" x14ac:dyDescent="0.25">
      <c r="D38" s="11">
        <v>4</v>
      </c>
      <c r="E38" s="58">
        <v>43525</v>
      </c>
      <c r="F38" s="13">
        <v>-4.0000000000000002E-4</v>
      </c>
      <c r="G38" s="12">
        <v>1.61E-2</v>
      </c>
    </row>
    <row r="39" spans="4:18" ht="15.75" x14ac:dyDescent="0.25">
      <c r="D39" s="11">
        <v>3</v>
      </c>
      <c r="E39" s="58">
        <v>43497</v>
      </c>
      <c r="F39" s="13">
        <v>-2.29E-2</v>
      </c>
      <c r="G39" s="12">
        <v>1.3299999999999999E-2</v>
      </c>
    </row>
    <row r="40" spans="4:18" ht="15.75" x14ac:dyDescent="0.25">
      <c r="D40" s="11">
        <v>2</v>
      </c>
      <c r="E40" s="58">
        <v>43466</v>
      </c>
      <c r="F40" s="12">
        <v>0.1111</v>
      </c>
      <c r="G40" s="12">
        <v>0.30330000000000001</v>
      </c>
    </row>
    <row r="41" spans="4:18" ht="15.75" x14ac:dyDescent="0.25">
      <c r="D41" s="11">
        <v>1</v>
      </c>
      <c r="E41" s="59">
        <v>43435</v>
      </c>
      <c r="F41" s="60">
        <v>-2.0500000000000001E-2</v>
      </c>
      <c r="G41" s="12">
        <v>2.3900000000000001E-2</v>
      </c>
      <c r="L41" s="51"/>
      <c r="M41" s="51"/>
      <c r="N41" s="51"/>
      <c r="O41" s="51"/>
      <c r="P41" s="51"/>
      <c r="Q41" s="51"/>
      <c r="R41" s="51"/>
    </row>
    <row r="42" spans="4:18" ht="15.75" x14ac:dyDescent="0.25">
      <c r="D42" s="9"/>
      <c r="E42" s="11" t="s">
        <v>16</v>
      </c>
      <c r="F42" s="15">
        <f>AVERAGE(F5:F41)</f>
        <v>7.4189189189189167E-3</v>
      </c>
      <c r="G42" s="15">
        <f>MEDIAN(G5:G41)</f>
        <v>1.61E-2</v>
      </c>
      <c r="L42" s="52"/>
      <c r="M42" s="53"/>
      <c r="N42" s="54"/>
      <c r="O42" s="54"/>
      <c r="P42" s="54"/>
      <c r="Q42" s="55"/>
      <c r="R42" s="56"/>
    </row>
    <row r="43" spans="4:18" x14ac:dyDescent="0.25">
      <c r="L43" s="52"/>
      <c r="M43" s="53"/>
      <c r="N43" s="54"/>
      <c r="O43" s="54"/>
      <c r="P43" s="54"/>
      <c r="Q43" s="55"/>
      <c r="R43" s="56"/>
    </row>
    <row r="44" spans="4:18" x14ac:dyDescent="0.25">
      <c r="L44" s="52"/>
      <c r="M44" s="53"/>
      <c r="N44" s="54"/>
      <c r="O44" s="54"/>
      <c r="P44" s="54"/>
      <c r="Q44" s="55"/>
      <c r="R44" s="56"/>
    </row>
    <row r="45" spans="4:18" x14ac:dyDescent="0.25">
      <c r="L45" s="52"/>
      <c r="M45" s="53"/>
      <c r="N45" s="54"/>
      <c r="O45" s="54"/>
      <c r="P45" s="54"/>
      <c r="Q45" s="55"/>
      <c r="R45" s="56"/>
    </row>
    <row r="46" spans="4:18" x14ac:dyDescent="0.25">
      <c r="L46" s="52"/>
      <c r="M46" s="53"/>
      <c r="N46" s="54"/>
      <c r="O46" s="54"/>
      <c r="P46" s="54"/>
      <c r="Q46" s="55"/>
      <c r="R46" s="56"/>
    </row>
    <row r="47" spans="4:18" x14ac:dyDescent="0.25">
      <c r="L47" s="52"/>
      <c r="M47" s="53"/>
      <c r="N47" s="54"/>
      <c r="O47" s="54"/>
      <c r="P47" s="54"/>
      <c r="Q47" s="55"/>
      <c r="R47" s="56"/>
    </row>
    <row r="48" spans="4:18" x14ac:dyDescent="0.25">
      <c r="L48" s="52"/>
      <c r="M48" s="53"/>
      <c r="N48" s="54"/>
      <c r="O48" s="54"/>
      <c r="P48" s="54"/>
      <c r="Q48" s="55"/>
      <c r="R48" s="56"/>
    </row>
    <row r="49" spans="12:18" x14ac:dyDescent="0.25">
      <c r="L49" s="52"/>
      <c r="M49" s="53"/>
      <c r="N49" s="54"/>
      <c r="O49" s="54"/>
      <c r="P49" s="54"/>
      <c r="Q49" s="55"/>
      <c r="R49" s="56"/>
    </row>
    <row r="50" spans="12:18" x14ac:dyDescent="0.25">
      <c r="L50" s="52"/>
      <c r="M50" s="53"/>
      <c r="N50" s="54"/>
      <c r="O50" s="54"/>
      <c r="P50" s="54"/>
      <c r="Q50" s="55"/>
      <c r="R50" s="56"/>
    </row>
    <row r="51" spans="12:18" x14ac:dyDescent="0.25">
      <c r="L51" s="52"/>
      <c r="M51" s="53"/>
      <c r="N51" s="54"/>
      <c r="O51" s="54"/>
      <c r="P51" s="54"/>
      <c r="Q51" s="55"/>
      <c r="R51" s="56"/>
    </row>
    <row r="52" spans="12:18" x14ac:dyDescent="0.25">
      <c r="L52" s="52"/>
      <c r="M52" s="53"/>
      <c r="N52" s="54"/>
      <c r="O52" s="54"/>
      <c r="P52" s="54"/>
      <c r="Q52" s="55"/>
      <c r="R52" s="56"/>
    </row>
    <row r="53" spans="12:18" x14ac:dyDescent="0.25">
      <c r="L53" s="52"/>
      <c r="M53" s="53"/>
      <c r="N53" s="54"/>
      <c r="O53" s="54"/>
      <c r="P53" s="54"/>
      <c r="Q53" s="55"/>
      <c r="R53" s="56"/>
    </row>
    <row r="54" spans="12:18" x14ac:dyDescent="0.25">
      <c r="L54" s="52"/>
      <c r="M54" s="53"/>
      <c r="N54" s="54"/>
      <c r="O54" s="54"/>
      <c r="P54" s="54"/>
      <c r="Q54" s="55"/>
      <c r="R54" s="56"/>
    </row>
    <row r="55" spans="12:18" x14ac:dyDescent="0.25">
      <c r="L55" s="52"/>
      <c r="M55" s="53"/>
      <c r="N55" s="54"/>
      <c r="O55" s="54"/>
      <c r="P55" s="54"/>
      <c r="Q55" s="55"/>
      <c r="R55" s="56"/>
    </row>
    <row r="56" spans="12:18" x14ac:dyDescent="0.25">
      <c r="L56" s="52"/>
      <c r="M56" s="53"/>
      <c r="N56" s="54"/>
      <c r="O56" s="54"/>
      <c r="P56" s="54"/>
      <c r="Q56" s="55"/>
      <c r="R56" s="56"/>
    </row>
    <row r="57" spans="12:18" x14ac:dyDescent="0.25">
      <c r="L57" s="52"/>
      <c r="M57" s="53"/>
      <c r="N57" s="54"/>
      <c r="O57" s="54"/>
      <c r="P57" s="54"/>
      <c r="Q57" s="55"/>
      <c r="R57" s="56"/>
    </row>
    <row r="58" spans="12:18" x14ac:dyDescent="0.25">
      <c r="L58" s="52"/>
      <c r="M58" s="53"/>
      <c r="N58" s="54"/>
      <c r="O58" s="54"/>
      <c r="P58" s="54"/>
      <c r="Q58" s="55"/>
      <c r="R58" s="56"/>
    </row>
    <row r="59" spans="12:18" x14ac:dyDescent="0.25">
      <c r="L59" s="52"/>
      <c r="M59" s="53"/>
      <c r="N59" s="54"/>
      <c r="O59" s="54"/>
      <c r="P59" s="54"/>
      <c r="Q59" s="55"/>
      <c r="R59" s="56"/>
    </row>
    <row r="60" spans="12:18" x14ac:dyDescent="0.25">
      <c r="L60" s="52"/>
      <c r="M60" s="53"/>
      <c r="N60" s="54"/>
      <c r="O60" s="54"/>
      <c r="P60" s="54"/>
      <c r="Q60" s="55"/>
      <c r="R60" s="56"/>
    </row>
    <row r="61" spans="12:18" x14ac:dyDescent="0.25">
      <c r="L61" s="52"/>
      <c r="M61" s="53"/>
      <c r="N61" s="54"/>
      <c r="O61" s="54"/>
      <c r="P61" s="54"/>
      <c r="Q61" s="55"/>
      <c r="R61" s="56"/>
    </row>
    <row r="62" spans="12:18" x14ac:dyDescent="0.25">
      <c r="L62" s="52"/>
      <c r="M62" s="53"/>
      <c r="N62" s="54"/>
      <c r="O62" s="54"/>
      <c r="P62" s="54"/>
      <c r="Q62" s="55"/>
      <c r="R62" s="56"/>
    </row>
    <row r="63" spans="12:18" x14ac:dyDescent="0.25">
      <c r="L63" s="52"/>
      <c r="M63" s="53"/>
      <c r="N63" s="54"/>
      <c r="O63" s="54"/>
      <c r="P63" s="54"/>
      <c r="Q63" s="55"/>
      <c r="R63" s="56"/>
    </row>
    <row r="64" spans="12:18" x14ac:dyDescent="0.25">
      <c r="L64" s="52"/>
      <c r="M64" s="53"/>
      <c r="N64" s="54"/>
      <c r="O64" s="54"/>
      <c r="P64" s="54"/>
      <c r="Q64" s="55"/>
      <c r="R64" s="56"/>
    </row>
    <row r="65" spans="12:18" x14ac:dyDescent="0.25">
      <c r="L65" s="52"/>
      <c r="M65" s="53"/>
      <c r="N65" s="54"/>
      <c r="O65" s="54"/>
      <c r="P65" s="54"/>
      <c r="Q65" s="55"/>
      <c r="R65" s="56"/>
    </row>
    <row r="66" spans="12:18" x14ac:dyDescent="0.25">
      <c r="L66" s="52"/>
      <c r="M66" s="53"/>
      <c r="N66" s="54"/>
      <c r="O66" s="54"/>
      <c r="P66" s="54"/>
      <c r="Q66" s="55"/>
      <c r="R66" s="56"/>
    </row>
    <row r="67" spans="12:18" x14ac:dyDescent="0.25">
      <c r="L67" s="52"/>
      <c r="M67" s="53"/>
      <c r="N67" s="54"/>
      <c r="O67" s="54"/>
      <c r="P67" s="54"/>
      <c r="Q67" s="55"/>
      <c r="R67" s="56"/>
    </row>
    <row r="68" spans="12:18" x14ac:dyDescent="0.25">
      <c r="L68" s="52"/>
      <c r="M68" s="53"/>
      <c r="N68" s="54"/>
      <c r="O68" s="54"/>
      <c r="P68" s="54"/>
      <c r="Q68" s="55"/>
      <c r="R68" s="56"/>
    </row>
    <row r="69" spans="12:18" x14ac:dyDescent="0.25">
      <c r="L69" s="52"/>
      <c r="M69" s="53"/>
      <c r="N69" s="54"/>
      <c r="O69" s="54"/>
      <c r="P69" s="54"/>
      <c r="Q69" s="55"/>
      <c r="R69" s="56"/>
    </row>
    <row r="70" spans="12:18" x14ac:dyDescent="0.25">
      <c r="L70" s="52"/>
      <c r="M70" s="53"/>
      <c r="N70" s="54"/>
      <c r="O70" s="54"/>
      <c r="P70" s="54"/>
      <c r="Q70" s="55"/>
      <c r="R70" s="56"/>
    </row>
    <row r="71" spans="12:18" x14ac:dyDescent="0.25">
      <c r="L71" s="52"/>
      <c r="M71" s="53"/>
      <c r="N71" s="54"/>
      <c r="O71" s="54"/>
      <c r="P71" s="54"/>
      <c r="Q71" s="55"/>
      <c r="R71" s="56"/>
    </row>
    <row r="72" spans="12:18" x14ac:dyDescent="0.25">
      <c r="L72" s="52"/>
      <c r="M72" s="53"/>
      <c r="N72" s="54"/>
      <c r="O72" s="54"/>
      <c r="P72" s="54"/>
      <c r="Q72" s="55"/>
      <c r="R72" s="56"/>
    </row>
    <row r="73" spans="12:18" x14ac:dyDescent="0.25">
      <c r="L73" s="52"/>
      <c r="M73" s="53"/>
      <c r="N73" s="54"/>
      <c r="O73" s="54"/>
      <c r="P73" s="54"/>
      <c r="Q73" s="55"/>
      <c r="R73" s="56"/>
    </row>
    <row r="74" spans="12:18" x14ac:dyDescent="0.25">
      <c r="L74" s="52"/>
      <c r="M74" s="53"/>
      <c r="N74" s="54"/>
      <c r="O74" s="54"/>
      <c r="P74" s="54"/>
      <c r="Q74" s="55"/>
      <c r="R74" s="56"/>
    </row>
    <row r="75" spans="12:18" x14ac:dyDescent="0.25">
      <c r="L75" s="52"/>
      <c r="M75" s="53"/>
      <c r="N75" s="54"/>
      <c r="O75" s="54"/>
      <c r="P75" s="54"/>
      <c r="Q75" s="55"/>
      <c r="R75" s="56"/>
    </row>
    <row r="76" spans="12:18" x14ac:dyDescent="0.25">
      <c r="L76" s="52"/>
      <c r="M76" s="53"/>
      <c r="N76" s="54"/>
      <c r="O76" s="54"/>
      <c r="P76" s="54"/>
      <c r="Q76" s="55"/>
      <c r="R76" s="56"/>
    </row>
    <row r="77" spans="12:18" x14ac:dyDescent="0.25">
      <c r="L77" s="52"/>
      <c r="M77" s="53"/>
      <c r="N77" s="54"/>
      <c r="O77" s="54"/>
      <c r="P77" s="54"/>
      <c r="Q77" s="55"/>
      <c r="R77" s="56"/>
    </row>
    <row r="78" spans="12:18" x14ac:dyDescent="0.25">
      <c r="L78" s="52"/>
      <c r="M78" s="53"/>
      <c r="N78" s="54"/>
      <c r="O78" s="54"/>
      <c r="P78" s="54"/>
      <c r="Q78" s="55"/>
      <c r="R78" s="56"/>
    </row>
  </sheetData>
  <mergeCells count="3">
    <mergeCell ref="E1:G3"/>
    <mergeCell ref="J1:K3"/>
    <mergeCell ref="M4:U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0"/>
  <sheetViews>
    <sheetView showGridLines="0" showRowColHeaders="0" zoomScaleNormal="100" workbookViewId="0"/>
  </sheetViews>
  <sheetFormatPr defaultRowHeight="15" x14ac:dyDescent="0.25"/>
  <cols>
    <col min="5" max="6" width="19.42578125" bestFit="1" customWidth="1"/>
    <col min="7" max="7" width="25.85546875" bestFit="1" customWidth="1"/>
    <col min="8" max="8" width="21.140625" bestFit="1" customWidth="1"/>
    <col min="9" max="9" width="19.7109375" bestFit="1" customWidth="1"/>
    <col min="10" max="15" width="21.5703125" bestFit="1" customWidth="1"/>
  </cols>
  <sheetData>
    <row r="3" spans="1:15" x14ac:dyDescent="0.25">
      <c r="K3" s="35">
        <v>1</v>
      </c>
      <c r="L3" s="35">
        <v>2</v>
      </c>
      <c r="M3" s="35">
        <v>3</v>
      </c>
      <c r="N3" s="35">
        <v>4</v>
      </c>
      <c r="O3" s="35">
        <v>5</v>
      </c>
    </row>
    <row r="4" spans="1:15" x14ac:dyDescent="0.25">
      <c r="A4" s="129" t="s">
        <v>24</v>
      </c>
      <c r="B4" s="129"/>
      <c r="C4" s="129"/>
      <c r="D4" s="129"/>
      <c r="E4" s="30">
        <v>2016</v>
      </c>
      <c r="F4" s="30">
        <v>2017</v>
      </c>
      <c r="G4" s="30">
        <v>2018</v>
      </c>
      <c r="H4" s="30">
        <v>2019</v>
      </c>
      <c r="I4" s="30">
        <v>2020</v>
      </c>
      <c r="J4" s="30">
        <v>2021</v>
      </c>
      <c r="K4" s="31" t="s">
        <v>25</v>
      </c>
      <c r="L4" s="31" t="s">
        <v>26</v>
      </c>
      <c r="M4" s="31" t="s">
        <v>27</v>
      </c>
      <c r="N4" s="31" t="s">
        <v>28</v>
      </c>
      <c r="O4" s="31" t="s">
        <v>53</v>
      </c>
    </row>
    <row r="5" spans="1:15" x14ac:dyDescent="0.25">
      <c r="A5" s="129" t="s">
        <v>23</v>
      </c>
      <c r="B5" s="129"/>
      <c r="C5" s="129"/>
      <c r="D5" s="129"/>
      <c r="E5" s="26">
        <v>638330000</v>
      </c>
      <c r="F5" s="26">
        <v>533888000</v>
      </c>
      <c r="G5" s="26">
        <v>326624000</v>
      </c>
      <c r="H5" s="26">
        <v>274059000</v>
      </c>
      <c r="I5" s="27">
        <v>874323000</v>
      </c>
      <c r="J5" s="27">
        <v>983127000</v>
      </c>
      <c r="K5" s="27">
        <v>1078445131.70696</v>
      </c>
      <c r="L5" s="27">
        <v>1179369583.2533574</v>
      </c>
      <c r="M5" s="27">
        <v>1280294034.7997546</v>
      </c>
      <c r="N5" s="27">
        <v>1381218486.3461521</v>
      </c>
      <c r="O5" s="27">
        <v>1482142937.8925493</v>
      </c>
    </row>
    <row r="6" spans="1:15" ht="15.75" thickBot="1" x14ac:dyDescent="0.3">
      <c r="K6" s="28">
        <f>K5/(1+$H$9)^K3</f>
        <v>1041237020.9024744</v>
      </c>
      <c r="L6" s="28">
        <f>L5/(1+$H$9)^L3</f>
        <v>1099393123.2258196</v>
      </c>
      <c r="M6" s="28">
        <f>M5/(1+$H$9)^M3</f>
        <v>1152296816.1413481</v>
      </c>
      <c r="N6" s="28">
        <f>N5/(1+$H$9)^N3</f>
        <v>1200241306.1545827</v>
      </c>
      <c r="O6" s="28">
        <f>O5/(1+$H$9)^O3</f>
        <v>1243505819.838213</v>
      </c>
    </row>
    <row r="7" spans="1:15" ht="15" customHeight="1" x14ac:dyDescent="0.25">
      <c r="A7" s="121" t="s">
        <v>58</v>
      </c>
      <c r="B7" s="122"/>
      <c r="C7" s="122"/>
      <c r="D7" s="123"/>
    </row>
    <row r="8" spans="1:15" x14ac:dyDescent="0.25">
      <c r="A8" s="124"/>
      <c r="B8" s="92"/>
      <c r="C8" s="92"/>
      <c r="D8" s="125"/>
    </row>
    <row r="9" spans="1:15" x14ac:dyDescent="0.25">
      <c r="A9" s="124"/>
      <c r="B9" s="92"/>
      <c r="C9" s="92"/>
      <c r="D9" s="125"/>
      <c r="G9" s="74" t="s">
        <v>29</v>
      </c>
      <c r="H9" s="75">
        <f>WACC!E10</f>
        <v>3.5734525432293981E-2</v>
      </c>
    </row>
    <row r="10" spans="1:15" x14ac:dyDescent="0.25">
      <c r="A10" s="124"/>
      <c r="B10" s="92"/>
      <c r="C10" s="92"/>
      <c r="D10" s="125"/>
      <c r="G10" s="76"/>
      <c r="H10" s="77"/>
    </row>
    <row r="11" spans="1:15" x14ac:dyDescent="0.25">
      <c r="A11" s="124"/>
      <c r="B11" s="92"/>
      <c r="C11" s="92"/>
      <c r="D11" s="125"/>
      <c r="G11" s="78" t="s">
        <v>33</v>
      </c>
      <c r="H11" s="79">
        <f>K6+L6+M6+N6+O6</f>
        <v>5736674086.2624378</v>
      </c>
    </row>
    <row r="12" spans="1:15" x14ac:dyDescent="0.25">
      <c r="A12" s="124"/>
      <c r="B12" s="92"/>
      <c r="C12" s="92"/>
      <c r="D12" s="125"/>
      <c r="G12" s="76"/>
      <c r="H12" s="77"/>
    </row>
    <row r="13" spans="1:15" x14ac:dyDescent="0.25">
      <c r="A13" s="124"/>
      <c r="B13" s="92"/>
      <c r="C13" s="92"/>
      <c r="D13" s="125"/>
      <c r="G13" s="78" t="s">
        <v>34</v>
      </c>
      <c r="H13" s="80">
        <f>H15/(1+H9)^5</f>
        <v>34798442257.0345</v>
      </c>
    </row>
    <row r="14" spans="1:15" x14ac:dyDescent="0.25">
      <c r="A14" s="124"/>
      <c r="B14" s="92"/>
      <c r="C14" s="92"/>
      <c r="D14" s="125"/>
      <c r="G14" s="76"/>
      <c r="H14" s="77"/>
    </row>
    <row r="15" spans="1:15" x14ac:dyDescent="0.25">
      <c r="A15" s="124"/>
      <c r="B15" s="92"/>
      <c r="C15" s="92"/>
      <c r="D15" s="125"/>
      <c r="G15" s="76" t="s">
        <v>35</v>
      </c>
      <c r="H15" s="81">
        <f>O5/H9</f>
        <v>41476497028.084442</v>
      </c>
    </row>
    <row r="16" spans="1:15" x14ac:dyDescent="0.25">
      <c r="A16" s="124"/>
      <c r="B16" s="92"/>
      <c r="C16" s="92"/>
      <c r="D16" s="125"/>
      <c r="G16" s="76"/>
      <c r="H16" s="77"/>
    </row>
    <row r="17" spans="1:8" x14ac:dyDescent="0.25">
      <c r="A17" s="124"/>
      <c r="B17" s="92"/>
      <c r="C17" s="92"/>
      <c r="D17" s="125"/>
      <c r="G17" s="78" t="s">
        <v>30</v>
      </c>
      <c r="H17" s="79">
        <f>H11+H13</f>
        <v>40535116343.296936</v>
      </c>
    </row>
    <row r="18" spans="1:8" x14ac:dyDescent="0.25">
      <c r="A18" s="124"/>
      <c r="B18" s="92"/>
      <c r="C18" s="92"/>
      <c r="D18" s="125"/>
      <c r="G18" s="76" t="s">
        <v>31</v>
      </c>
      <c r="H18" s="82">
        <f>VI!J9</f>
        <v>1511205519</v>
      </c>
    </row>
    <row r="19" spans="1:8" ht="15.75" thickBot="1" x14ac:dyDescent="0.3">
      <c r="A19" s="126"/>
      <c r="B19" s="127"/>
      <c r="C19" s="127"/>
      <c r="D19" s="128"/>
      <c r="G19" s="76"/>
      <c r="H19" s="77"/>
    </row>
    <row r="20" spans="1:8" x14ac:dyDescent="0.25">
      <c r="G20" s="83" t="s">
        <v>32</v>
      </c>
      <c r="H20" s="84">
        <f>H17/H18</f>
        <v>26.82303355411246</v>
      </c>
    </row>
  </sheetData>
  <mergeCells count="3">
    <mergeCell ref="A5:D5"/>
    <mergeCell ref="A4:D4"/>
    <mergeCell ref="A7:D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419-4908-464E-AD9B-12EBAA4B7C11}">
  <dimension ref="D1:H12"/>
  <sheetViews>
    <sheetView showGridLines="0" showRowColHeaders="0" workbookViewId="0"/>
  </sheetViews>
  <sheetFormatPr defaultRowHeight="15" x14ac:dyDescent="0.25"/>
  <cols>
    <col min="4" max="4" width="9.28515625" bestFit="1" customWidth="1"/>
    <col min="5" max="5" width="34.85546875" customWidth="1"/>
    <col min="6" max="6" width="43.85546875" customWidth="1"/>
    <col min="7" max="7" width="60.85546875" customWidth="1"/>
    <col min="8" max="8" width="61.7109375" customWidth="1"/>
  </cols>
  <sheetData>
    <row r="1" spans="4:8" x14ac:dyDescent="0.25">
      <c r="D1" t="s">
        <v>24</v>
      </c>
      <c r="E1" t="s">
        <v>23</v>
      </c>
      <c r="F1" t="s">
        <v>55</v>
      </c>
      <c r="G1" t="s">
        <v>56</v>
      </c>
      <c r="H1" t="s">
        <v>57</v>
      </c>
    </row>
    <row r="2" spans="4:8" x14ac:dyDescent="0.25">
      <c r="D2">
        <v>2016</v>
      </c>
      <c r="E2">
        <v>638330000</v>
      </c>
    </row>
    <row r="3" spans="4:8" x14ac:dyDescent="0.25">
      <c r="D3">
        <v>2017</v>
      </c>
      <c r="E3">
        <v>533888000</v>
      </c>
    </row>
    <row r="4" spans="4:8" x14ac:dyDescent="0.25">
      <c r="D4">
        <v>2018</v>
      </c>
      <c r="E4">
        <v>326624000</v>
      </c>
    </row>
    <row r="5" spans="4:8" x14ac:dyDescent="0.25">
      <c r="D5">
        <v>2019</v>
      </c>
      <c r="E5">
        <v>274059000</v>
      </c>
    </row>
    <row r="6" spans="4:8" x14ac:dyDescent="0.25">
      <c r="D6">
        <v>2020</v>
      </c>
      <c r="E6">
        <v>874323000</v>
      </c>
    </row>
    <row r="7" spans="4:8" x14ac:dyDescent="0.25">
      <c r="D7">
        <v>2021</v>
      </c>
      <c r="E7">
        <v>983127000</v>
      </c>
      <c r="F7">
        <v>983127000</v>
      </c>
      <c r="G7" s="61">
        <v>983127000</v>
      </c>
      <c r="H7" s="61">
        <v>983127000</v>
      </c>
    </row>
    <row r="8" spans="4:8" x14ac:dyDescent="0.25">
      <c r="D8">
        <v>2022</v>
      </c>
      <c r="F8">
        <f>_xlfn.FORECAST.ETS(D8,$E$2:$E$7,$D$2:$D$7,1,1)</f>
        <v>1078445131.70696</v>
      </c>
      <c r="G8" s="61">
        <f>F8-_xlfn.FORECAST.ETS.CONFINT(D8,$E$2:$E$7,$D$2:$D$7,0.95,1,1)</f>
        <v>560086689.26641917</v>
      </c>
      <c r="H8" s="61">
        <f>F8+_xlfn.FORECAST.ETS.CONFINT(D8,$E$2:$E$7,$D$2:$D$7,0.95,1,1)</f>
        <v>1596803574.1475008</v>
      </c>
    </row>
    <row r="9" spans="4:8" x14ac:dyDescent="0.25">
      <c r="D9">
        <v>2023</v>
      </c>
      <c r="F9">
        <f>_xlfn.FORECAST.ETS(D9,$E$2:$E$7,$D$2:$D$7,1,1)</f>
        <v>1179369583.2533574</v>
      </c>
      <c r="G9" s="61">
        <f>F9-_xlfn.FORECAST.ETS.CONFINT(D9,$E$2:$E$7,$D$2:$D$7,0.95,1,1)</f>
        <v>481642752.73328364</v>
      </c>
      <c r="H9" s="61">
        <f>F9+_xlfn.FORECAST.ETS.CONFINT(D9,$E$2:$E$7,$D$2:$D$7,0.95,1,1)</f>
        <v>1877096413.7734313</v>
      </c>
    </row>
    <row r="10" spans="4:8" x14ac:dyDescent="0.25">
      <c r="D10">
        <v>2024</v>
      </c>
      <c r="F10">
        <f>_xlfn.FORECAST.ETS(D10,$E$2:$E$7,$D$2:$D$7,1,1)</f>
        <v>1280294034.7997546</v>
      </c>
      <c r="G10" s="61">
        <f>F10-_xlfn.FORECAST.ETS.CONFINT(D10,$E$2:$E$7,$D$2:$D$7,0.95,1,1)</f>
        <v>440392586.32681286</v>
      </c>
      <c r="H10" s="61">
        <f>F10+_xlfn.FORECAST.ETS.CONFINT(D10,$E$2:$E$7,$D$2:$D$7,0.95,1,1)</f>
        <v>2120195483.2726965</v>
      </c>
    </row>
    <row r="11" spans="4:8" x14ac:dyDescent="0.25">
      <c r="D11">
        <v>2025</v>
      </c>
      <c r="F11">
        <f>_xlfn.FORECAST.ETS(D11,$E$2:$E$7,$D$2:$D$7,1,1)</f>
        <v>1381218486.3461521</v>
      </c>
      <c r="G11" s="61">
        <f>F11-_xlfn.FORECAST.ETS.CONFINT(D11,$E$2:$E$7,$D$2:$D$7,0.95,1,1)</f>
        <v>419693056.83406341</v>
      </c>
      <c r="H11" s="61">
        <f>F11+_xlfn.FORECAST.ETS.CONFINT(D11,$E$2:$E$7,$D$2:$D$7,0.95,1,1)</f>
        <v>2342743915.8582406</v>
      </c>
    </row>
    <row r="12" spans="4:8" x14ac:dyDescent="0.25">
      <c r="D12">
        <v>2026</v>
      </c>
      <c r="F12">
        <f>_xlfn.FORECAST.ETS(D12,$E$2:$E$7,$D$2:$D$7,1,1)</f>
        <v>1482142937.8925493</v>
      </c>
      <c r="G12" s="61">
        <f>F12-_xlfn.FORECAST.ETS.CONFINT(D12,$E$2:$E$7,$D$2:$D$7,0.95,1,1)</f>
        <v>412510574.52047908</v>
      </c>
      <c r="H12" s="61">
        <f>F12+_xlfn.FORECAST.ETS.CONFINT(D12,$E$2:$E$7,$D$2:$D$7,0.95,1,1)</f>
        <v>2551775301.2646194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E13"/>
  <sheetViews>
    <sheetView showGridLines="0" showRowColHeaders="0" workbookViewId="0"/>
  </sheetViews>
  <sheetFormatPr defaultRowHeight="15" x14ac:dyDescent="0.25"/>
  <cols>
    <col min="4" max="4" width="54.85546875" bestFit="1" customWidth="1"/>
    <col min="5" max="5" width="19.140625" bestFit="1" customWidth="1"/>
  </cols>
  <sheetData>
    <row r="3" spans="4:5" x14ac:dyDescent="0.25">
      <c r="D3" s="45" t="s">
        <v>59</v>
      </c>
      <c r="E3" s="43">
        <v>380463000</v>
      </c>
    </row>
    <row r="4" spans="4:5" ht="15.75" thickBot="1" x14ac:dyDescent="0.3">
      <c r="D4" s="46" t="s">
        <v>61</v>
      </c>
      <c r="E4" s="47">
        <v>4120565000</v>
      </c>
    </row>
    <row r="5" spans="4:5" ht="15.75" thickBot="1" x14ac:dyDescent="0.3">
      <c r="D5" s="48" t="s">
        <v>40</v>
      </c>
      <c r="E5" s="49">
        <f>E3/E4</f>
        <v>9.2332726215943683E-2</v>
      </c>
    </row>
    <row r="6" spans="4:5" ht="15.75" thickBot="1" x14ac:dyDescent="0.3">
      <c r="D6" s="25"/>
    </row>
    <row r="7" spans="4:5" ht="15.75" thickBot="1" x14ac:dyDescent="0.3">
      <c r="D7" s="48" t="s">
        <v>37</v>
      </c>
      <c r="E7" s="49">
        <f>E5*(1-0.34)</f>
        <v>6.0939599302522823E-2</v>
      </c>
    </row>
    <row r="10" spans="4:5" x14ac:dyDescent="0.25">
      <c r="D10" s="92" t="s">
        <v>60</v>
      </c>
      <c r="E10" s="92"/>
    </row>
    <row r="11" spans="4:5" x14ac:dyDescent="0.25">
      <c r="D11" s="92"/>
      <c r="E11" s="92"/>
    </row>
    <row r="12" spans="4:5" x14ac:dyDescent="0.25">
      <c r="D12" s="92"/>
      <c r="E12" s="92"/>
    </row>
    <row r="13" spans="4:5" x14ac:dyDescent="0.25">
      <c r="D13" s="92"/>
      <c r="E13" s="92"/>
    </row>
  </sheetData>
  <mergeCells count="1">
    <mergeCell ref="D10:E13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L10"/>
  <sheetViews>
    <sheetView showGridLines="0" showRowColHeaders="0" workbookViewId="0"/>
  </sheetViews>
  <sheetFormatPr defaultRowHeight="15" x14ac:dyDescent="0.25"/>
  <cols>
    <col min="4" max="4" width="39.85546875" bestFit="1" customWidth="1"/>
    <col min="5" max="5" width="8.140625" bestFit="1" customWidth="1"/>
    <col min="6" max="6" width="19.28515625" bestFit="1" customWidth="1"/>
    <col min="7" max="7" width="19.140625" bestFit="1" customWidth="1"/>
    <col min="9" max="9" width="19.140625" bestFit="1" customWidth="1"/>
  </cols>
  <sheetData>
    <row r="3" spans="4:12" x14ac:dyDescent="0.25">
      <c r="D3" s="45" t="s">
        <v>38</v>
      </c>
      <c r="E3" s="71">
        <f>G3/(G3+G4)</f>
        <v>0.71383610397144048</v>
      </c>
      <c r="F3" s="36" t="s">
        <v>8</v>
      </c>
      <c r="G3" s="43">
        <f>VI!J8</f>
        <v>7826342000</v>
      </c>
      <c r="I3" s="38">
        <f>G3/VI!J9</f>
        <v>5.178873357462904</v>
      </c>
    </row>
    <row r="4" spans="4:12" x14ac:dyDescent="0.25">
      <c r="D4" s="45" t="s">
        <v>39</v>
      </c>
      <c r="E4" s="71">
        <f>G4/(G3+G4)</f>
        <v>0.28616389602855952</v>
      </c>
      <c r="F4" s="72" t="s">
        <v>62</v>
      </c>
      <c r="G4" s="43">
        <v>3137438000</v>
      </c>
    </row>
    <row r="5" spans="4:12" x14ac:dyDescent="0.25">
      <c r="D5" s="45" t="s">
        <v>36</v>
      </c>
      <c r="E5" s="64">
        <f>E3+E4</f>
        <v>1</v>
      </c>
    </row>
    <row r="6" spans="4:12" x14ac:dyDescent="0.25">
      <c r="D6" s="25"/>
      <c r="E6" s="32"/>
      <c r="G6" s="130" t="s">
        <v>63</v>
      </c>
      <c r="H6" s="130"/>
      <c r="I6" s="130"/>
      <c r="J6" s="130"/>
      <c r="K6" s="130"/>
      <c r="L6" s="130"/>
    </row>
    <row r="7" spans="4:12" x14ac:dyDescent="0.25">
      <c r="D7" s="45" t="s">
        <v>18</v>
      </c>
      <c r="E7" s="73">
        <f>Beta!K4</f>
        <v>2.5630270270270261E-2</v>
      </c>
      <c r="G7" s="130"/>
      <c r="H7" s="130"/>
      <c r="I7" s="130"/>
      <c r="J7" s="130"/>
      <c r="K7" s="130"/>
      <c r="L7" s="130"/>
    </row>
    <row r="8" spans="4:12" x14ac:dyDescent="0.25">
      <c r="D8" s="25"/>
      <c r="G8" s="130"/>
      <c r="H8" s="130"/>
      <c r="I8" s="130"/>
      <c r="J8" s="130"/>
      <c r="K8" s="130"/>
      <c r="L8" s="130"/>
    </row>
    <row r="9" spans="4:12" x14ac:dyDescent="0.25">
      <c r="D9" s="45" t="s">
        <v>37</v>
      </c>
      <c r="E9" s="73">
        <f>'KD KI'!E7</f>
        <v>6.0939599302522823E-2</v>
      </c>
      <c r="G9" s="130"/>
      <c r="H9" s="130"/>
      <c r="I9" s="130"/>
      <c r="J9" s="130"/>
      <c r="K9" s="130"/>
      <c r="L9" s="130"/>
    </row>
    <row r="10" spans="4:12" x14ac:dyDescent="0.25">
      <c r="D10" s="33" t="s">
        <v>41</v>
      </c>
      <c r="E10" s="34">
        <f>(E3*E7)+(E4*E9)</f>
        <v>3.5734525432293981E-2</v>
      </c>
      <c r="G10" s="130"/>
      <c r="H10" s="130"/>
      <c r="I10" s="130"/>
      <c r="J10" s="130"/>
      <c r="K10" s="130"/>
      <c r="L10" s="130"/>
    </row>
  </sheetData>
  <mergeCells count="1">
    <mergeCell ref="G6:L10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9:K20"/>
  <sheetViews>
    <sheetView showGridLines="0" showRowColHeaders="0" workbookViewId="0"/>
  </sheetViews>
  <sheetFormatPr defaultRowHeight="15" x14ac:dyDescent="0.25"/>
  <cols>
    <col min="4" max="5" width="17.140625" customWidth="1"/>
    <col min="6" max="6" width="31.140625" customWidth="1"/>
    <col min="7" max="7" width="19.140625" bestFit="1" customWidth="1"/>
  </cols>
  <sheetData>
    <row r="9" spans="4:11" x14ac:dyDescent="0.25">
      <c r="E9" s="8" t="s">
        <v>43</v>
      </c>
      <c r="F9" s="8" t="s">
        <v>44</v>
      </c>
    </row>
    <row r="10" spans="4:11" x14ac:dyDescent="0.25">
      <c r="D10" s="36" t="s">
        <v>45</v>
      </c>
      <c r="E10" s="39">
        <v>1007470260</v>
      </c>
      <c r="F10" s="37">
        <v>3.8</v>
      </c>
      <c r="G10" s="38">
        <f>E10*F10</f>
        <v>3828386988</v>
      </c>
    </row>
    <row r="11" spans="4:11" x14ac:dyDescent="0.25">
      <c r="D11" s="36" t="s">
        <v>48</v>
      </c>
      <c r="E11" s="39">
        <v>503735259</v>
      </c>
      <c r="F11" s="37">
        <v>3.63</v>
      </c>
      <c r="G11" s="38">
        <f>E11*F11</f>
        <v>1828558990.1699998</v>
      </c>
      <c r="I11" s="91" t="s">
        <v>65</v>
      </c>
      <c r="J11" s="91"/>
      <c r="K11" s="91"/>
    </row>
    <row r="12" spans="4:11" x14ac:dyDescent="0.25">
      <c r="D12" s="36" t="s">
        <v>49</v>
      </c>
      <c r="E12" s="39">
        <f>E10+E11</f>
        <v>1511205519</v>
      </c>
      <c r="F12" s="40"/>
      <c r="G12" s="29"/>
      <c r="I12" s="91"/>
      <c r="J12" s="91"/>
      <c r="K12" s="91"/>
    </row>
    <row r="13" spans="4:11" x14ac:dyDescent="0.25">
      <c r="D13" s="131" t="s">
        <v>46</v>
      </c>
      <c r="E13" s="131"/>
      <c r="F13" s="131"/>
      <c r="G13" s="41">
        <f>G10+G11</f>
        <v>5656945978.1700001</v>
      </c>
      <c r="I13" s="91"/>
      <c r="J13" s="91"/>
      <c r="K13" s="91"/>
    </row>
    <row r="14" spans="4:11" x14ac:dyDescent="0.25">
      <c r="I14" s="91"/>
      <c r="J14" s="91"/>
      <c r="K14" s="91"/>
    </row>
    <row r="15" spans="4:11" x14ac:dyDescent="0.25">
      <c r="D15" s="132" t="s">
        <v>47</v>
      </c>
      <c r="E15" s="133"/>
      <c r="F15" s="134"/>
      <c r="G15" s="43">
        <f>WACC!G4</f>
        <v>3137438000</v>
      </c>
    </row>
    <row r="16" spans="4:11" x14ac:dyDescent="0.25">
      <c r="D16" s="91" t="s">
        <v>64</v>
      </c>
      <c r="E16" s="91"/>
      <c r="F16" s="91"/>
      <c r="G16" s="42">
        <f>'Fluxo de caixa'!J5+1023029</f>
        <v>984150029</v>
      </c>
    </row>
    <row r="18" spans="4:7" x14ac:dyDescent="0.25">
      <c r="D18" s="131" t="s">
        <v>46</v>
      </c>
      <c r="E18" s="131"/>
      <c r="F18" s="131"/>
      <c r="G18" s="41">
        <f>G13-G15+G16</f>
        <v>3503658007.1700001</v>
      </c>
    </row>
    <row r="20" spans="4:7" x14ac:dyDescent="0.25">
      <c r="E20" s="5"/>
      <c r="G20" s="38">
        <f>G18/E12</f>
        <v>2.3184523634405814</v>
      </c>
    </row>
  </sheetData>
  <mergeCells count="5">
    <mergeCell ref="D13:F13"/>
    <mergeCell ref="D15:F15"/>
    <mergeCell ref="D16:F16"/>
    <mergeCell ref="D18:F18"/>
    <mergeCell ref="I11: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Menu</vt:lpstr>
      <vt:lpstr>Indicadores</vt:lpstr>
      <vt:lpstr>VI</vt:lpstr>
      <vt:lpstr>Beta</vt:lpstr>
      <vt:lpstr>Fluxo de caixa</vt:lpstr>
      <vt:lpstr>Previsão </vt:lpstr>
      <vt:lpstr>KD KI</vt:lpstr>
      <vt:lpstr>WACC</vt:lpstr>
      <vt:lpstr>Valor de mercado</vt:lpstr>
      <vt:lpstr>Múltiplos</vt:lpstr>
      <vt:lpstr>Resumo</vt:lpstr>
    </vt:vector>
  </TitlesOfParts>
  <Company>LANXESS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Bruno</dc:creator>
  <cp:lastModifiedBy>Patolino</cp:lastModifiedBy>
  <dcterms:created xsi:type="dcterms:W3CDTF">2021-01-28T01:54:20Z</dcterms:created>
  <dcterms:modified xsi:type="dcterms:W3CDTF">2022-12-12T22:37:08Z</dcterms:modified>
</cp:coreProperties>
</file>