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38CB907D-B301-EF40-8336-9E14AB0386AB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Q4" i="3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N19" i="3"/>
  <c r="L19" i="3"/>
  <c r="K18" i="3" l="1"/>
  <c r="B8" i="16"/>
  <c r="B6" i="16"/>
  <c r="K7" i="3"/>
  <c r="M14" i="3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E18" i="16"/>
  <c r="F19" i="3"/>
  <c r="E19" i="3"/>
  <c r="E7" i="5"/>
  <c r="K8" i="3" l="1"/>
  <c r="B7" i="16"/>
  <c r="K11" i="3"/>
  <c r="K9" i="3"/>
  <c r="M19" i="3"/>
  <c r="D7" i="5" s="1"/>
  <c r="D18" i="16"/>
  <c r="E6" i="5"/>
  <c r="D23" i="3"/>
  <c r="D19" i="3"/>
  <c r="E5" i="5" s="1"/>
  <c r="I19" i="3"/>
  <c r="D5" i="5" s="1"/>
  <c r="H19" i="3"/>
  <c r="C19" i="3"/>
  <c r="C5" i="5" s="1"/>
  <c r="G19" i="3"/>
  <c r="B10" i="16" l="1"/>
  <c r="K10" i="3"/>
  <c r="K12" i="3"/>
  <c r="B9" i="16"/>
  <c r="D8" i="5"/>
  <c r="D24" i="3"/>
  <c r="E8" i="5"/>
  <c r="C18" i="16"/>
  <c r="D21" i="3"/>
  <c r="D22" i="3"/>
  <c r="B11" i="16" l="1"/>
  <c r="B12" i="16"/>
  <c r="K13" i="3"/>
  <c r="B13" i="16" l="1"/>
  <c r="K14" i="3"/>
  <c r="B14" i="16" l="1"/>
  <c r="K15" i="3"/>
  <c r="K16" i="3" l="1"/>
  <c r="B15" i="16"/>
  <c r="B16" i="16" l="1"/>
  <c r="K17" i="3"/>
</calcChain>
</file>

<file path=xl/sharedStrings.xml><?xml version="1.0" encoding="utf-8"?>
<sst xmlns="http://schemas.openxmlformats.org/spreadsheetml/2006/main" count="84" uniqueCount="51">
  <si>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</si>
  <si>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</si>
  <si>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</si>
  <si>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</si>
  <si>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</si>
  <si>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</si>
  <si>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</si>
  <si>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</si>
  <si>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</si>
  <si>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</si>
  <si>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</si>
  <si>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</si>
  <si>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</si>
  <si>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</si>
  <si>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</si>
  <si>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</si>
  <si>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</si>
  <si>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</si>
  <si>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</si>
  <si>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</si>
  <si>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</si>
  <si>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</si>
  <si>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</si>
  <si>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</si>
  <si>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</si>
  <si>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</si>
  <si>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</si>
  <si>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</si>
  <si>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</si>
  <si>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</si>
  <si>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</si>
  <si>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</si>
  <si>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</si>
  <si>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</si>
  <si>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</si>
  <si>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</si>
  <si>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</si>
  <si>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</si>
  <si>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</si>
  <si>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</si>
  <si>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</si>
  <si>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</si>
  <si>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</si>
  <si>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</si>
  <si>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</si>
  <si>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</si>
  <si>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</si>
  <si>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</si>
  <si>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</si>
  <si>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</si>
  <si>
    <t>Start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</si>
</sst>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  <numFmt numFmtId="173" formatCode="[$-409]mmm\ yyyy;@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1" applyNumberFormat="1" applyFont="1" applyBorder="1" applyAlignment="1">
      <alignment horizontal="right" vertical="center"/>
    </xf>
    <xf numFmtId="37" fontId="5" fillId="0" borderId="9" xfId="1" applyNumberFormat="1" applyFont="1" applyBorder="1" applyAlignment="1">
      <alignment horizontal="right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1" applyNumberFormat="1" applyFont="1" applyBorder="1" applyAlignment="1">
      <alignment horizontal="right" vertical="center"/>
    </xf>
    <xf numFmtId="37" fontId="5" fillId="0" borderId="11" xfId="1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7" fontId="5" fillId="0" borderId="1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37" fontId="5" fillId="0" borderId="24" xfId="1" applyNumberFormat="1" applyFont="1" applyBorder="1" applyAlignment="1">
      <alignment horizontal="right" vertical="center"/>
    </xf>
    <xf numFmtId="37" fontId="5" fillId="0" borderId="25" xfId="1" applyNumberFormat="1" applyFont="1" applyBorder="1" applyAlignment="1">
      <alignment horizontal="right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0" fontId="14" fillId="5" borderId="29" xfId="0" applyFont="1" applyFill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  <xf numFmtId="0" fontId="4" fillId="0" borderId="29" xfId="0" applyFont="1" applyFill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vertical="center"/>
    </xf>
    <xf numFmtId="173" fontId="12" fillId="5" borderId="29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strRef>
              <c:f>'Raw Data'!$B$7:$B$18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cat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Algn val="ctr"/>
        <c:lblOffset val="100"/>
        <c:noMultiLvlLbl val="1"/>
      </c:cat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cat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Algn val="ctr"/>
        <c:lblOffset val="100"/>
        <c:noMultiLvlLbl val="1"/>
      </c:cat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cat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Algn val="ctr"/>
        <c:lblOffset val="100"/>
        <c:noMultiLvlLbl val="1"/>
      </c:cat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cat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Algn val="ctr"/>
        <c:lblOffset val="100"/>
        <c:noMultiLvlLbl val="1"/>
      </c:cat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cat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Algn val="ctr"/>
        <c:lblOffset val="100"/>
        <c:noMultiLvlLbl val="1"/>
      </c:cat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cat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Algn val="ctr"/>
        <c:lblOffset val="100"/>
        <c:noMultiLvlLbl val="1"/>
      </c:cat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strRef>
              <c:f>'Monthly Cost'!$B$6:$B$17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Jun 22</c:v>
                </c:pt>
                <c:pt idx="1">
                  <c:v>Jul 22</c:v>
                </c:pt>
                <c:pt idx="2">
                  <c:v>Aug 22</c:v>
                </c:pt>
                <c:pt idx="3">
                  <c:v>Sep 22</c:v>
                </c:pt>
                <c:pt idx="4">
                  <c:v>Oct 22</c:v>
                </c:pt>
                <c:pt idx="5">
                  <c:v>Nov 22</c:v>
                </c:pt>
                <c:pt idx="6">
                  <c:v>Dec 22</c:v>
                </c:pt>
                <c:pt idx="7">
                  <c:v>Jan 23</c:v>
                </c:pt>
                <c:pt idx="8">
                  <c:v>Feb 23</c:v>
                </c:pt>
                <c:pt idx="9">
                  <c:v>Mar 23</c:v>
                </c:pt>
                <c:pt idx="10">
                  <c:v>Apr 23</c:v>
                </c:pt>
                <c:pt idx="11">
                  <c:v>May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2296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tabSelected="1" workbookViewId="0">
      <selection activeCell="Q17" sqref="Q17"/>
    </sheetView>
  </sheetViews>
  <sheetFormatPr baseColWidth="10" defaultColWidth="12.6640625" defaultRowHeight="15" customHeight="1" x14ac:dyDescent="0.15"/>
  <cols>
    <col min="1" max="23" width="15.83203125" customWidth="1"/>
  </cols>
  <sheetData>
    <row r="1" spans="1:23" ht="100" customHeight="1" thickBot="1" x14ac:dyDescent="0.25">
      <c r="A1" s="3"/>
      <c r="B1" s="31"/>
      <c r="C1" s="31"/>
      <c r="D1" s="31"/>
      <c r="E1" s="31"/>
      <c r="F1" s="31"/>
      <c r="G1" s="31"/>
      <c r="H1" s="31"/>
      <c r="I1" s="31"/>
      <c r="J1" s="3"/>
      <c r="K1" s="30"/>
      <c r="L1" s="30"/>
      <c r="M1" s="30"/>
      <c r="N1" s="30"/>
    </row>
    <row r="2" spans="1:23" ht="25" customHeight="1" x14ac:dyDescent="0.2">
      <c r="A2" s="3"/>
      <c r="B2" s="92" t="s">
        <v>33</v>
      </c>
      <c r="C2" s="93"/>
      <c r="D2" s="93"/>
      <c r="E2" s="93"/>
      <c r="F2" s="93"/>
      <c r="G2" s="93"/>
      <c r="H2" s="93"/>
      <c r="I2" s="94"/>
      <c r="J2" s="3"/>
      <c r="K2" s="86" t="str">
        <f>_xlfn.CONCAT(Q2," Usage and Cost by Month")</f>
        <v>Natural Gas Usage and Cost by Month</v>
      </c>
      <c r="L2" s="87"/>
      <c r="M2" s="87"/>
      <c r="N2" s="88"/>
      <c r="P2" s="78" t="s">
        <v>48</v>
      </c>
      <c r="Q2" s="79" t="s">
        <v>29</v>
      </c>
    </row>
    <row r="3" spans="1:23" ht="25" customHeight="1" thickBot="1" x14ac:dyDescent="0.25">
      <c r="A3" s="3"/>
      <c r="B3" s="95"/>
      <c r="C3" s="96"/>
      <c r="D3" s="96"/>
      <c r="E3" s="96"/>
      <c r="F3" s="96"/>
      <c r="G3" s="96"/>
      <c r="H3" s="96"/>
      <c r="I3" s="97"/>
      <c r="J3" s="4"/>
      <c r="K3" s="89"/>
      <c r="L3" s="90"/>
      <c r="M3" s="90"/>
      <c r="N3" s="91"/>
      <c r="P3" s="78" t="s">
        <v>49</v>
      </c>
      <c r="Q3" s="79" t="s">
        <v>41</v>
      </c>
    </row>
    <row r="4" spans="1:23" ht="25" customHeight="1" x14ac:dyDescent="0.2">
      <c r="A4" s="3"/>
      <c r="B4" s="39" t="s">
        <v>0</v>
      </c>
      <c r="C4" s="40" t="s">
        <v>0</v>
      </c>
      <c r="D4" s="40" t="s">
        <v>5</v>
      </c>
      <c r="E4" s="40" t="s">
        <v>1</v>
      </c>
      <c r="F4" s="40" t="s">
        <v>2</v>
      </c>
      <c r="G4" s="40" t="s">
        <v>3</v>
      </c>
      <c r="H4" s="40" t="s">
        <v>4</v>
      </c>
      <c r="I4" s="41" t="s">
        <v>4</v>
      </c>
      <c r="J4" s="4"/>
      <c r="K4" s="39" t="str">
        <f>Q2</f>
        <v>Natural Gas</v>
      </c>
      <c r="L4" s="52" t="str">
        <f>Q2</f>
        <v>Natural Gas</v>
      </c>
      <c r="M4" s="52" t="str">
        <f>Q2</f>
        <v>Natural Gas</v>
      </c>
      <c r="N4" s="53" t="str">
        <f>Q2</f>
        <v>Natural Gas</v>
      </c>
      <c r="P4" s="110" t="s">
        <v>38</v>
      </c>
      <c r="Q4" s="110">
        <f>VLOOKUP(Q2,P7:W14,MATCH(Q3,P6:W6,0),FALSE)</f>
        <v>1.036</v>
      </c>
    </row>
    <row r="5" spans="1:23" ht="25" customHeight="1" x14ac:dyDescent="0.2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P5" s="109" t="s">
        <v>50</v>
      </c>
      <c r="Q5" s="114">
        <v>44713</v>
      </c>
    </row>
    <row r="6" spans="1:23" ht="25" customHeight="1" thickBot="1" x14ac:dyDescent="0.25">
      <c r="A6" s="3"/>
      <c r="B6" s="42" t="s">
        <v>15</v>
      </c>
      <c r="C6" s="43" t="s">
        <v>8</v>
      </c>
      <c r="D6" s="43" t="s">
        <v>9</v>
      </c>
      <c r="E6" s="43" t="s">
        <v>10</v>
      </c>
      <c r="F6" s="43" t="s">
        <v>9</v>
      </c>
      <c r="G6" s="43" t="s">
        <v>9</v>
      </c>
      <c r="H6" s="43" t="s">
        <v>9</v>
      </c>
      <c r="I6" s="44" t="s">
        <v>11</v>
      </c>
      <c r="J6" s="4"/>
      <c r="K6" s="42" t="s">
        <v>15</v>
      </c>
      <c r="L6" s="43" t="str">
        <f>_xlfn.CONCAT("[",Q3,"]")</f>
        <v>[Mcf]</v>
      </c>
      <c r="M6" s="43" t="s">
        <v>11</v>
      </c>
      <c r="N6" s="44" t="s">
        <v>9</v>
      </c>
      <c r="P6" s="74" t="s">
        <v>43</v>
      </c>
      <c r="Q6" s="111" t="s">
        <v>39</v>
      </c>
      <c r="R6" s="111" t="s">
        <v>40</v>
      </c>
      <c r="S6" s="111" t="s">
        <v>41</v>
      </c>
      <c r="T6" s="111" t="s">
        <v>42</v>
      </c>
      <c r="U6" s="111" t="s">
        <v>45</v>
      </c>
      <c r="V6" s="111" t="s">
        <v>46</v>
      </c>
      <c r="W6" s="111" t="s">
        <v>44</v>
      </c>
    </row>
    <row r="7" spans="1:23" ht="25" customHeight="1" x14ac:dyDescent="0.2">
      <c r="A7" s="3"/>
      <c r="B7" s="28" t="str">
        <f>TEXT(EDATE($Q$5,0),"mmm yy")</f>
        <v>Jun 22</v>
      </c>
      <c r="C7" s="8">
        <v>1384234</v>
      </c>
      <c r="D7" s="8">
        <v>112187.25</v>
      </c>
      <c r="E7" s="8">
        <v>2930</v>
      </c>
      <c r="F7" s="8">
        <v>11246.72</v>
      </c>
      <c r="G7" s="8">
        <f>H7-D7-F7</f>
        <v>4000.0000000000018</v>
      </c>
      <c r="H7" s="8">
        <v>127433.97</v>
      </c>
      <c r="I7" s="9">
        <f>C7*0.003412/0.33</f>
        <v>14312.140630303031</v>
      </c>
      <c r="J7" s="4"/>
      <c r="K7" s="28" t="str">
        <f t="shared" ref="K7:K18" si="0">B7</f>
        <v>Jun 22</v>
      </c>
      <c r="L7" s="10">
        <v>36311.129999999997</v>
      </c>
      <c r="M7" s="10">
        <f>L7*$Q$4</f>
        <v>37618.330679999999</v>
      </c>
      <c r="N7" s="11">
        <v>104545.84</v>
      </c>
      <c r="P7" s="75" t="s">
        <v>29</v>
      </c>
      <c r="Q7" s="111">
        <v>1</v>
      </c>
      <c r="R7" s="111">
        <v>0.1</v>
      </c>
      <c r="S7" s="111">
        <v>1.036</v>
      </c>
      <c r="T7" s="111">
        <v>0.1036</v>
      </c>
      <c r="U7" s="111"/>
      <c r="V7" s="111"/>
      <c r="W7" s="111"/>
    </row>
    <row r="8" spans="1:23" ht="25" customHeight="1" x14ac:dyDescent="0.2">
      <c r="A8" s="3"/>
      <c r="B8" s="29" t="str">
        <f>TEXT(EDATE($Q$5,1),"mmm yy")</f>
        <v>Jul 22</v>
      </c>
      <c r="C8" s="12">
        <v>1311914</v>
      </c>
      <c r="D8" s="12">
        <v>105810.33</v>
      </c>
      <c r="E8" s="12">
        <v>2720</v>
      </c>
      <c r="F8" s="12">
        <v>9182.59</v>
      </c>
      <c r="G8" s="12">
        <f>H8-D8-F8</f>
        <v>3999.9999999999964</v>
      </c>
      <c r="H8" s="12">
        <v>118992.92</v>
      </c>
      <c r="I8" s="13">
        <f>C8*0.003412/0.33</f>
        <v>13564.395660606062</v>
      </c>
      <c r="J8" s="4"/>
      <c r="K8" s="29" t="str">
        <f t="shared" si="0"/>
        <v>Jul 22</v>
      </c>
      <c r="L8" s="14">
        <v>30510.85</v>
      </c>
      <c r="M8" s="14">
        <f>L8*$Q$4</f>
        <v>31609.240600000001</v>
      </c>
      <c r="N8" s="15">
        <v>96610.76</v>
      </c>
      <c r="P8" s="74" t="s">
        <v>31</v>
      </c>
      <c r="Q8" s="111"/>
      <c r="R8" s="111"/>
      <c r="S8" s="111">
        <v>2.5499999999999998</v>
      </c>
      <c r="T8" s="111">
        <v>0.255</v>
      </c>
      <c r="U8" s="111">
        <v>9.1499999999999998E-2</v>
      </c>
      <c r="V8" s="111"/>
      <c r="W8" s="111"/>
    </row>
    <row r="9" spans="1:23" ht="25" customHeight="1" x14ac:dyDescent="0.2">
      <c r="A9" s="3"/>
      <c r="B9" s="29" t="str">
        <f>TEXT(EDATE($Q$5,2),"mmm yy")</f>
        <v>Aug 22</v>
      </c>
      <c r="C9" s="12">
        <v>1402432</v>
      </c>
      <c r="D9" s="12">
        <v>113295.70999999999</v>
      </c>
      <c r="E9" s="12">
        <v>2950</v>
      </c>
      <c r="F9" s="12">
        <v>10833.23</v>
      </c>
      <c r="G9" s="12">
        <f t="shared" ref="G9:G17" si="1">H9-D9-F9</f>
        <v>4000.0000000000109</v>
      </c>
      <c r="H9" s="12">
        <v>128128.94</v>
      </c>
      <c r="I9" s="13">
        <f t="shared" ref="I9:I17" si="2">C9*0.003412/0.33</f>
        <v>14500.296921212121</v>
      </c>
      <c r="J9" s="4"/>
      <c r="K9" s="29" t="str">
        <f t="shared" si="0"/>
        <v>Aug 22</v>
      </c>
      <c r="L9" s="14">
        <v>27991.1</v>
      </c>
      <c r="M9" s="14">
        <f t="shared" ref="M9:M17" si="3">L9*$Q$4</f>
        <v>28998.779599999998</v>
      </c>
      <c r="N9" s="15">
        <v>89239.59</v>
      </c>
      <c r="P9" s="76" t="s">
        <v>47</v>
      </c>
      <c r="Q9" s="111"/>
      <c r="R9" s="111"/>
      <c r="S9" s="111">
        <v>3.2</v>
      </c>
      <c r="T9" s="111">
        <v>0.32</v>
      </c>
      <c r="U9" s="111">
        <v>0.10199999999999999</v>
      </c>
      <c r="V9" s="112"/>
      <c r="W9" s="111"/>
    </row>
    <row r="10" spans="1:23" ht="25" customHeight="1" x14ac:dyDescent="0.2">
      <c r="A10" s="3"/>
      <c r="B10" s="29" t="str">
        <f>TEXT(EDATE($Q$5,3),"mmm yy")</f>
        <v>Sep 22</v>
      </c>
      <c r="C10" s="12">
        <v>2358602</v>
      </c>
      <c r="D10" s="12">
        <v>190071.66</v>
      </c>
      <c r="E10" s="12">
        <v>2556</v>
      </c>
      <c r="F10" s="12">
        <v>10877.58</v>
      </c>
      <c r="G10" s="12">
        <f t="shared" si="1"/>
        <v>3999.9999999999873</v>
      </c>
      <c r="H10" s="12">
        <v>204949.24</v>
      </c>
      <c r="I10" s="13">
        <f t="shared" si="2"/>
        <v>24386.515224242423</v>
      </c>
      <c r="J10" s="4"/>
      <c r="K10" s="29" t="str">
        <f t="shared" si="0"/>
        <v>Sep 22</v>
      </c>
      <c r="L10" s="14">
        <v>33437.660000000003</v>
      </c>
      <c r="M10" s="14">
        <f t="shared" si="3"/>
        <v>34641.415760000004</v>
      </c>
      <c r="N10" s="15">
        <v>99192.69</v>
      </c>
      <c r="P10" s="76" t="s">
        <v>34</v>
      </c>
      <c r="Q10" s="111"/>
      <c r="R10" s="111"/>
      <c r="S10" s="111"/>
      <c r="T10" s="112"/>
      <c r="U10" s="111">
        <v>0.13739999999999999</v>
      </c>
      <c r="V10" s="111"/>
      <c r="W10" s="111"/>
    </row>
    <row r="11" spans="1:23" ht="25" customHeight="1" x14ac:dyDescent="0.2">
      <c r="A11" s="3"/>
      <c r="B11" s="29" t="str">
        <f>TEXT(EDATE($Q$5,4),"mmm yy")</f>
        <v>Oct 22</v>
      </c>
      <c r="C11" s="12">
        <v>1338996</v>
      </c>
      <c r="D11" s="12">
        <v>107034.78</v>
      </c>
      <c r="E11" s="12">
        <v>2795.1881200490484</v>
      </c>
      <c r="F11" s="12">
        <v>11915.23</v>
      </c>
      <c r="G11" s="12">
        <f t="shared" si="1"/>
        <v>3999.9900000000016</v>
      </c>
      <c r="H11" s="12">
        <v>122950</v>
      </c>
      <c r="I11" s="13">
        <f t="shared" si="2"/>
        <v>13844.407127272729</v>
      </c>
      <c r="J11" s="4"/>
      <c r="K11" s="29" t="str">
        <f t="shared" si="0"/>
        <v>Oct 22</v>
      </c>
      <c r="L11" s="14">
        <v>32212.62</v>
      </c>
      <c r="M11" s="14">
        <f t="shared" si="3"/>
        <v>33372.274319999997</v>
      </c>
      <c r="N11" s="15">
        <v>95129.01</v>
      </c>
      <c r="P11" s="75" t="s">
        <v>32</v>
      </c>
      <c r="Q11" s="111"/>
      <c r="R11" s="111"/>
      <c r="S11" s="111"/>
      <c r="T11" s="111"/>
      <c r="U11" s="111">
        <v>0.14000000000000001</v>
      </c>
      <c r="V11" s="111"/>
      <c r="W11" s="113"/>
    </row>
    <row r="12" spans="1:23" ht="25" customHeight="1" x14ac:dyDescent="0.2">
      <c r="A12" s="3"/>
      <c r="B12" s="29" t="str">
        <f>TEXT(EDATE($Q$5,5),"mmm yy")</f>
        <v>Nov 22</v>
      </c>
      <c r="C12" s="12">
        <v>1338142</v>
      </c>
      <c r="D12" s="12">
        <v>109757.79000000001</v>
      </c>
      <c r="E12" s="12">
        <v>2795.9760558395405</v>
      </c>
      <c r="F12" s="12">
        <v>11415.33</v>
      </c>
      <c r="G12" s="12">
        <f t="shared" si="1"/>
        <v>3999.9999999999873</v>
      </c>
      <c r="H12" s="12">
        <v>125173.12</v>
      </c>
      <c r="I12" s="13">
        <f t="shared" si="2"/>
        <v>13835.577284848485</v>
      </c>
      <c r="J12" s="4"/>
      <c r="K12" s="29" t="str">
        <f t="shared" si="0"/>
        <v>Nov 22</v>
      </c>
      <c r="L12" s="14">
        <v>25238.78</v>
      </c>
      <c r="M12" s="14">
        <f t="shared" si="3"/>
        <v>26147.376079999998</v>
      </c>
      <c r="N12" s="15">
        <v>77783.38</v>
      </c>
      <c r="P12" s="75" t="s">
        <v>35</v>
      </c>
      <c r="Q12" s="111"/>
      <c r="R12" s="111"/>
      <c r="S12" s="111"/>
      <c r="T12" s="111"/>
      <c r="U12" s="111">
        <v>0.14399999999999999</v>
      </c>
      <c r="V12" s="111"/>
      <c r="W12" s="113"/>
    </row>
    <row r="13" spans="1:23" ht="25" customHeight="1" x14ac:dyDescent="0.2">
      <c r="A13" s="3"/>
      <c r="B13" s="29" t="str">
        <f>TEXT(EDATE($Q$5,6),"mmm yy")</f>
        <v>Dec 22</v>
      </c>
      <c r="C13" s="12">
        <v>1456049</v>
      </c>
      <c r="D13" s="12">
        <v>116930.2</v>
      </c>
      <c r="E13" s="12">
        <v>2811.4235985488122</v>
      </c>
      <c r="F13" s="12">
        <v>16318.08</v>
      </c>
      <c r="G13" s="12">
        <f t="shared" si="1"/>
        <v>4000.0000000000018</v>
      </c>
      <c r="H13" s="12">
        <v>137248.28</v>
      </c>
      <c r="I13" s="13">
        <f t="shared" si="2"/>
        <v>15054.664206060605</v>
      </c>
      <c r="J13" s="4"/>
      <c r="K13" s="29" t="str">
        <f t="shared" si="0"/>
        <v>Dec 22</v>
      </c>
      <c r="L13" s="14">
        <v>25523.07</v>
      </c>
      <c r="M13" s="14">
        <f t="shared" si="3"/>
        <v>26441.900519999999</v>
      </c>
      <c r="N13" s="15">
        <v>79413.899999999994</v>
      </c>
      <c r="P13" s="75" t="s">
        <v>36</v>
      </c>
      <c r="Q13" s="111"/>
      <c r="R13" s="111"/>
      <c r="S13" s="111"/>
      <c r="T13" s="111"/>
      <c r="U13" s="111">
        <v>0.152</v>
      </c>
      <c r="V13" s="111"/>
      <c r="W13" s="113"/>
    </row>
    <row r="14" spans="1:23" ht="25" customHeight="1" x14ac:dyDescent="0.2">
      <c r="A14" s="3"/>
      <c r="B14" s="29" t="str">
        <f>TEXT(EDATE($Q$5,7),"mmm yy")</f>
        <v>Jan 23</v>
      </c>
      <c r="C14" s="12">
        <v>1464718</v>
      </c>
      <c r="D14" s="12">
        <v>116021.33</v>
      </c>
      <c r="E14" s="12">
        <v>2815.6428364697422</v>
      </c>
      <c r="F14" s="12">
        <v>16362.32</v>
      </c>
      <c r="G14" s="12">
        <f t="shared" si="1"/>
        <v>3999.9999999999927</v>
      </c>
      <c r="H14" s="12">
        <v>136383.65</v>
      </c>
      <c r="I14" s="13">
        <f t="shared" si="2"/>
        <v>15144.296412121212</v>
      </c>
      <c r="J14" s="4"/>
      <c r="K14" s="29" t="str">
        <f t="shared" si="0"/>
        <v>Jan 23</v>
      </c>
      <c r="L14" s="14">
        <v>27372.79</v>
      </c>
      <c r="M14" s="14">
        <f t="shared" si="3"/>
        <v>28358.210440000003</v>
      </c>
      <c r="N14" s="15">
        <v>86054.1</v>
      </c>
      <c r="P14" s="75" t="s">
        <v>37</v>
      </c>
      <c r="Q14" s="111"/>
      <c r="R14" s="111"/>
      <c r="S14" s="111"/>
      <c r="T14" s="111"/>
      <c r="U14" s="111"/>
      <c r="V14" s="111">
        <v>2800000</v>
      </c>
      <c r="W14" s="111">
        <v>83.34</v>
      </c>
    </row>
    <row r="15" spans="1:23" ht="25" customHeight="1" x14ac:dyDescent="0.2">
      <c r="A15" s="3"/>
      <c r="B15" s="29" t="str">
        <f>TEXT(EDATE($Q$5,8),"mmm yy")</f>
        <v>Feb 23</v>
      </c>
      <c r="C15" s="12">
        <v>1293209</v>
      </c>
      <c r="D15" s="12">
        <v>105996.93</v>
      </c>
      <c r="E15" s="12">
        <v>2739</v>
      </c>
      <c r="F15" s="12">
        <v>11909.08</v>
      </c>
      <c r="G15" s="12">
        <f t="shared" si="1"/>
        <v>4000.0000000000164</v>
      </c>
      <c r="H15" s="12">
        <v>121906.01000000001</v>
      </c>
      <c r="I15" s="13">
        <f t="shared" si="2"/>
        <v>13370.997296969697</v>
      </c>
      <c r="J15" s="4"/>
      <c r="K15" s="29" t="str">
        <f t="shared" si="0"/>
        <v>Feb 23</v>
      </c>
      <c r="L15" s="14">
        <v>25227.72</v>
      </c>
      <c r="M15" s="14">
        <f t="shared" si="3"/>
        <v>26135.917920000004</v>
      </c>
      <c r="N15" s="15">
        <v>79062.47</v>
      </c>
    </row>
    <row r="16" spans="1:23" ht="25" customHeight="1" x14ac:dyDescent="0.2">
      <c r="A16" s="3"/>
      <c r="B16" s="29" t="str">
        <f>TEXT(EDATE($Q$5,9),"mmm yy")</f>
        <v>Mar 23</v>
      </c>
      <c r="C16" s="12">
        <v>1384787.9878681675</v>
      </c>
      <c r="D16" s="12">
        <v>112845.42</v>
      </c>
      <c r="E16" s="12">
        <v>2793.784770922698</v>
      </c>
      <c r="F16" s="12">
        <v>10557.39</v>
      </c>
      <c r="G16" s="12">
        <f t="shared" si="1"/>
        <v>4000</v>
      </c>
      <c r="H16" s="12">
        <v>127402.81</v>
      </c>
      <c r="I16" s="13">
        <f t="shared" si="2"/>
        <v>14317.868529109659</v>
      </c>
      <c r="J16" s="4"/>
      <c r="K16" s="29" t="str">
        <f t="shared" si="0"/>
        <v>Mar 23</v>
      </c>
      <c r="L16" s="14">
        <v>34904.32</v>
      </c>
      <c r="M16" s="14">
        <f t="shared" si="3"/>
        <v>36160.875520000001</v>
      </c>
      <c r="N16" s="15">
        <v>105077.37</v>
      </c>
    </row>
    <row r="17" spans="1:14" ht="25" customHeight="1" x14ac:dyDescent="0.2">
      <c r="A17" s="3"/>
      <c r="B17" s="29" t="str">
        <f>TEXT(EDATE($Q$5,10),"mmm yy")</f>
        <v>Apr 23</v>
      </c>
      <c r="C17" s="12">
        <v>1458890</v>
      </c>
      <c r="D17" s="12">
        <v>112862.44</v>
      </c>
      <c r="E17" s="12">
        <v>2788.1916668673757</v>
      </c>
      <c r="F17" s="12">
        <v>9342.08</v>
      </c>
      <c r="G17" s="12">
        <f t="shared" si="1"/>
        <v>3999.9999999999873</v>
      </c>
      <c r="H17" s="12">
        <v>126204.51999999999</v>
      </c>
      <c r="I17" s="13">
        <f t="shared" si="2"/>
        <v>15084.038424242424</v>
      </c>
      <c r="J17" s="4"/>
      <c r="K17" s="29" t="str">
        <f t="shared" si="0"/>
        <v>Apr 23</v>
      </c>
      <c r="L17" s="14">
        <v>39036.019999999997</v>
      </c>
      <c r="M17" s="14">
        <f t="shared" si="3"/>
        <v>40441.316719999995</v>
      </c>
      <c r="N17" s="15">
        <v>118518.95</v>
      </c>
    </row>
    <row r="18" spans="1:14" ht="25" customHeight="1" thickBot="1" x14ac:dyDescent="0.25">
      <c r="A18" s="3"/>
      <c r="B18" s="45" t="str">
        <f>TEXT(EDATE($Q$5,11),"mmm yy")</f>
        <v>May 23</v>
      </c>
      <c r="C18" s="46">
        <v>1430891</v>
      </c>
      <c r="D18" s="46">
        <v>116321.57</v>
      </c>
      <c r="E18" s="46">
        <v>2799.2014498729936</v>
      </c>
      <c r="F18" s="46">
        <v>11454.62</v>
      </c>
      <c r="G18" s="46">
        <f>H18-D18-F18</f>
        <v>3999.9999999999945</v>
      </c>
      <c r="H18" s="46">
        <v>131776.19</v>
      </c>
      <c r="I18" s="47">
        <f>C18*0.003412/0.33</f>
        <v>14794.545733333332</v>
      </c>
      <c r="J18" s="4"/>
      <c r="K18" s="45" t="str">
        <f t="shared" si="0"/>
        <v>May 23</v>
      </c>
      <c r="L18" s="54">
        <v>40927.550000000003</v>
      </c>
      <c r="M18" s="54">
        <f>L18*$Q$4</f>
        <v>42400.941800000008</v>
      </c>
      <c r="N18" s="55">
        <v>128236.23</v>
      </c>
    </row>
    <row r="19" spans="1:14" ht="25" customHeight="1" thickBot="1" x14ac:dyDescent="0.25">
      <c r="A19" s="3"/>
      <c r="B19" s="48" t="s">
        <v>4</v>
      </c>
      <c r="C19" s="49">
        <f t="shared" ref="C19:I19" si="4">SUM(C7:C18)</f>
        <v>17622864.987868167</v>
      </c>
      <c r="D19" s="49">
        <f t="shared" si="4"/>
        <v>1419135.41</v>
      </c>
      <c r="E19" s="49">
        <f t="shared" si="4"/>
        <v>33494.408498570214</v>
      </c>
      <c r="F19" s="50">
        <f t="shared" si="4"/>
        <v>141414.25</v>
      </c>
      <c r="G19" s="50">
        <f t="shared" si="4"/>
        <v>47999.989999999969</v>
      </c>
      <c r="H19" s="49">
        <f t="shared" si="4"/>
        <v>1608549.6500000001</v>
      </c>
      <c r="I19" s="51">
        <f t="shared" si="4"/>
        <v>182209.74345032181</v>
      </c>
      <c r="J19" s="4"/>
      <c r="K19" s="56" t="s">
        <v>17</v>
      </c>
      <c r="L19" s="57">
        <f t="shared" ref="L19:N19" si="5">SUM(L7:L18)</f>
        <v>378693.61</v>
      </c>
      <c r="M19" s="57">
        <f t="shared" si="5"/>
        <v>392326.57996</v>
      </c>
      <c r="N19" s="58">
        <f t="shared" si="5"/>
        <v>1158864.29</v>
      </c>
    </row>
    <row r="20" spans="1:14" ht="25" customHeight="1" x14ac:dyDescent="0.2">
      <c r="A20" s="3"/>
      <c r="B20" s="4"/>
      <c r="C20" s="4"/>
      <c r="D20" s="4"/>
      <c r="E20" s="16"/>
      <c r="F20" s="4"/>
      <c r="G20" s="4"/>
      <c r="H20" s="4"/>
      <c r="I20" s="4"/>
      <c r="J20" s="4"/>
      <c r="K20" s="17"/>
      <c r="L20" s="18"/>
      <c r="M20" s="19"/>
      <c r="N20" s="20"/>
    </row>
    <row r="21" spans="1:14" ht="25" customHeight="1" x14ac:dyDescent="0.2">
      <c r="A21" s="3"/>
      <c r="B21" s="84" t="s">
        <v>24</v>
      </c>
      <c r="C21" s="83"/>
      <c r="D21" s="21">
        <f>D19/C19</f>
        <v>8.0528075938671326E-2</v>
      </c>
      <c r="E21" s="22" t="s">
        <v>12</v>
      </c>
      <c r="F21" s="3"/>
      <c r="G21" s="3"/>
      <c r="H21" s="3"/>
      <c r="I21" s="3"/>
      <c r="J21" s="4"/>
    </row>
    <row r="22" spans="1:14" ht="25" customHeight="1" x14ac:dyDescent="0.2">
      <c r="A22" s="3"/>
      <c r="B22" s="84" t="s">
        <v>24</v>
      </c>
      <c r="C22" s="85"/>
      <c r="D22" s="23">
        <f>D19/I19</f>
        <v>7.7884715884412463</v>
      </c>
      <c r="E22" s="24" t="s">
        <v>26</v>
      </c>
      <c r="F22" s="3"/>
      <c r="G22" s="34"/>
      <c r="H22" s="34"/>
      <c r="I22" s="35"/>
      <c r="J22" s="4"/>
    </row>
    <row r="23" spans="1:14" ht="25" customHeight="1" x14ac:dyDescent="0.2">
      <c r="A23" s="3"/>
      <c r="B23" s="84" t="s">
        <v>25</v>
      </c>
      <c r="C23" s="83"/>
      <c r="D23" s="25">
        <f>F19/E19</f>
        <v>4.2220255958852535</v>
      </c>
      <c r="E23" s="22" t="s">
        <v>13</v>
      </c>
      <c r="F23" s="3"/>
      <c r="G23" s="34"/>
      <c r="H23" s="34"/>
      <c r="I23" s="35"/>
      <c r="J23" s="4"/>
    </row>
    <row r="24" spans="1:14" ht="25" customHeight="1" x14ac:dyDescent="0.2">
      <c r="A24" s="3"/>
      <c r="B24" s="82" t="str">
        <f xml:space="preserve"> _xlfn.CONCAT( Q2, " Cost :")</f>
        <v>Natural Gas Cost :</v>
      </c>
      <c r="C24" s="83"/>
      <c r="D24" s="23">
        <f>N19/M19</f>
        <v>2.9538255861179556</v>
      </c>
      <c r="E24" s="26" t="s">
        <v>18</v>
      </c>
      <c r="F24" s="4"/>
      <c r="G24" s="34"/>
      <c r="H24" s="34"/>
      <c r="I24" s="35"/>
      <c r="J24" s="4"/>
    </row>
    <row r="25" spans="1:14" ht="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15"/>
    <row r="217" spans="2:14" ht="15.75" customHeight="1" x14ac:dyDescent="0.15"/>
    <row r="218" spans="2:14" ht="15.75" customHeight="1" x14ac:dyDescent="0.15"/>
    <row r="219" spans="2:14" ht="15.75" customHeight="1" x14ac:dyDescent="0.15"/>
    <row r="220" spans="2:14" ht="15.75" customHeight="1" x14ac:dyDescent="0.15"/>
    <row r="221" spans="2:14" ht="15.75" customHeight="1" x14ac:dyDescent="0.15"/>
    <row r="222" spans="2:14" ht="15.75" customHeight="1" x14ac:dyDescent="0.15"/>
    <row r="223" spans="2:14" ht="15.75" customHeight="1" x14ac:dyDescent="0.15"/>
    <row r="224" spans="2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workbookViewId="0">
      <selection activeCell="T10" sqref="T10"/>
    </sheetView>
  </sheetViews>
  <sheetFormatPr baseColWidth="10" defaultColWidth="12.6640625" defaultRowHeight="15" customHeight="1" x14ac:dyDescent="0.15"/>
  <cols>
    <col min="1" max="1" width="12.6640625" customWidth="1"/>
  </cols>
  <sheetData>
    <row r="1" spans="21:21" ht="15" customHeight="1" x14ac:dyDescent="0.15">
      <c r="U1" t="str">
        <f>_xlfn.CONCAT('Raw Data'!Q2," Usage vs. Billing Month")</f>
        <v>Natural Gas Usage vs. Billing Month</v>
      </c>
    </row>
    <row r="2" spans="21:21" ht="12.75" customHeight="1" x14ac:dyDescent="0.15">
      <c r="U2" t="str">
        <f>_xlfn.CONCAT('Raw Data'!Q2," Usage [MMBtu]")</f>
        <v>Natural Gas Usage [MMBtu]</v>
      </c>
    </row>
    <row r="3" spans="21:21" ht="12.75" customHeight="1" x14ac:dyDescent="0.15"/>
    <row r="4" spans="21:21" ht="12.75" customHeight="1" x14ac:dyDescent="0.15"/>
    <row r="5" spans="21:21" ht="12.75" customHeight="1" x14ac:dyDescent="0.15"/>
    <row r="6" spans="21:21" ht="12.75" customHeight="1" x14ac:dyDescent="0.15"/>
    <row r="7" spans="21:21" ht="12.75" customHeight="1" x14ac:dyDescent="0.15"/>
    <row r="8" spans="21:21" ht="12.75" customHeight="1" x14ac:dyDescent="0.15"/>
    <row r="9" spans="21:21" ht="12.75" customHeight="1" x14ac:dyDescent="0.15"/>
    <row r="10" spans="21:21" ht="12.75" customHeight="1" x14ac:dyDescent="0.15"/>
    <row r="11" spans="21:21" ht="12.75" customHeight="1" x14ac:dyDescent="0.15"/>
    <row r="12" spans="21:21" ht="12.75" customHeight="1" x14ac:dyDescent="0.15"/>
    <row r="13" spans="21:21" ht="12.75" customHeight="1" x14ac:dyDescent="0.15"/>
    <row r="14" spans="21:21" ht="12.75" customHeight="1" x14ac:dyDescent="0.15"/>
    <row r="15" spans="21:21" ht="12.75" customHeight="1" x14ac:dyDescent="0.15"/>
    <row r="16" spans="21:21" ht="12.75" customHeight="1" x14ac:dyDescent="0.15"/>
    <row r="17" spans="21:21" ht="12.75" customHeight="1" x14ac:dyDescent="0.15"/>
    <row r="18" spans="21:21" ht="12.75" customHeight="1" x14ac:dyDescent="0.15"/>
    <row r="19" spans="21:21" ht="12.75" customHeight="1" x14ac:dyDescent="0.15"/>
    <row r="20" spans="21:21" ht="12.75" customHeight="1" x14ac:dyDescent="0.15"/>
    <row r="21" spans="21:21" ht="12.75" customHeight="1" x14ac:dyDescent="0.15"/>
    <row r="22" spans="21:21" ht="12.75" customHeight="1" x14ac:dyDescent="0.15"/>
    <row r="23" spans="21:21" ht="12.75" customHeight="1" x14ac:dyDescent="0.15"/>
    <row r="24" spans="21:21" ht="12.75" customHeight="1" x14ac:dyDescent="0.15"/>
    <row r="25" spans="21:21" ht="12.75" customHeight="1" x14ac:dyDescent="0.15"/>
    <row r="26" spans="21:21" ht="12.75" customHeight="1" x14ac:dyDescent="0.15">
      <c r="U26" t="str">
        <f>_xlfn.CONCAT('Raw Data'!Q2," Cost vs. Billing Month")</f>
        <v>Natural Gas Cost vs. Billing Month</v>
      </c>
    </row>
    <row r="27" spans="21:21" ht="12.75" customHeight="1" x14ac:dyDescent="0.15">
      <c r="U27" t="str">
        <f>_xlfn.CONCAT('Raw Data'!Q2," Cost [$]")</f>
        <v>Natural Gas Cost [$]</v>
      </c>
    </row>
    <row r="28" spans="21:21" ht="12.75" customHeight="1" x14ac:dyDescent="0.15"/>
    <row r="29" spans="21:21" ht="12.75" customHeight="1" x14ac:dyDescent="0.15"/>
    <row r="30" spans="21:21" ht="12.75" customHeight="1" x14ac:dyDescent="0.15"/>
    <row r="31" spans="21:21" ht="12.75" customHeight="1" x14ac:dyDescent="0.15"/>
    <row r="32" spans="21:2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workbookViewId="0">
      <selection activeCell="B23" sqref="B23"/>
    </sheetView>
  </sheetViews>
  <sheetFormatPr baseColWidth="10" defaultColWidth="12.6640625" defaultRowHeight="15" customHeight="1" x14ac:dyDescent="0.15"/>
  <cols>
    <col min="1" max="5" width="15.83203125" customWidth="1"/>
    <col min="6" max="6" width="8.83203125" customWidth="1"/>
    <col min="7" max="12" width="15.83203125" customWidth="1"/>
    <col min="13" max="19" width="8.83203125" customWidth="1"/>
  </cols>
  <sheetData>
    <row r="1" spans="1:19" ht="25" customHeight="1" thickBot="1" x14ac:dyDescent="0.2">
      <c r="A1" s="27"/>
      <c r="B1" s="27"/>
      <c r="C1" s="27"/>
      <c r="D1" s="27"/>
    </row>
    <row r="2" spans="1:19" ht="25" customHeight="1" x14ac:dyDescent="0.15">
      <c r="A2" s="27"/>
      <c r="B2" s="98" t="s">
        <v>28</v>
      </c>
      <c r="C2" s="99"/>
      <c r="D2" s="99"/>
      <c r="E2" s="100"/>
    </row>
    <row r="3" spans="1:19" ht="25" customHeight="1" thickBot="1" x14ac:dyDescent="0.25">
      <c r="B3" s="101"/>
      <c r="C3" s="102"/>
      <c r="D3" s="102"/>
      <c r="E3" s="10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" customHeight="1" thickBot="1" x14ac:dyDescent="0.25">
      <c r="B4" s="68" t="s">
        <v>21</v>
      </c>
      <c r="C4" s="69" t="s">
        <v>19</v>
      </c>
      <c r="D4" s="69" t="s">
        <v>22</v>
      </c>
      <c r="E4" s="70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" customHeight="1" x14ac:dyDescent="0.2">
      <c r="B5" s="32" t="s">
        <v>0</v>
      </c>
      <c r="C5" s="10">
        <f>'Raw Data'!C19</f>
        <v>17622864.987868167</v>
      </c>
      <c r="D5" s="10">
        <f>'Raw Data'!I19</f>
        <v>182209.74345032181</v>
      </c>
      <c r="E5" s="11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" customHeight="1" x14ac:dyDescent="0.2">
      <c r="B6" s="33" t="s">
        <v>2</v>
      </c>
      <c r="C6" s="37" t="s">
        <v>23</v>
      </c>
      <c r="D6" s="37" t="s">
        <v>23</v>
      </c>
      <c r="E6" s="36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" customHeight="1" thickBot="1" x14ac:dyDescent="0.25">
      <c r="B7" s="71" t="str">
        <f>'Raw Data'!Q2</f>
        <v>Natural Gas</v>
      </c>
      <c r="C7" s="72" t="s">
        <v>23</v>
      </c>
      <c r="D7" s="54">
        <f>'Raw Data'!M19</f>
        <v>392326.57996</v>
      </c>
      <c r="E7" s="55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" customHeight="1" thickBot="1" x14ac:dyDescent="0.25">
      <c r="B8" s="48" t="s">
        <v>4</v>
      </c>
      <c r="C8" s="73" t="s">
        <v>23</v>
      </c>
      <c r="D8" s="57">
        <f t="shared" ref="D8:E8" si="0">SUM(D5:D7)</f>
        <v>574536.32341032184</v>
      </c>
      <c r="E8" s="58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" customHeight="1" x14ac:dyDescent="0.2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2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2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2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2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2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2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2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15"/>
    <row r="212" spans="1:19" ht="15.75" customHeight="1" x14ac:dyDescent="0.15"/>
    <row r="213" spans="1:19" ht="15.75" customHeight="1" x14ac:dyDescent="0.15"/>
    <row r="214" spans="1:19" ht="15.75" customHeight="1" x14ac:dyDescent="0.15"/>
    <row r="215" spans="1:19" ht="15.75" customHeight="1" x14ac:dyDescent="0.15"/>
    <row r="216" spans="1:19" ht="15.75" customHeight="1" x14ac:dyDescent="0.15"/>
    <row r="217" spans="1:19" ht="15.75" customHeight="1" x14ac:dyDescent="0.15"/>
    <row r="218" spans="1:19" ht="15.75" customHeight="1" x14ac:dyDescent="0.15"/>
    <row r="219" spans="1:19" ht="15.75" customHeight="1" x14ac:dyDescent="0.15"/>
    <row r="220" spans="1:19" ht="15.75" customHeight="1" x14ac:dyDescent="0.15"/>
    <row r="221" spans="1:19" ht="15.75" customHeight="1" x14ac:dyDescent="0.15"/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topLeftCell="B1" workbookViewId="0">
      <selection activeCell="H22" sqref="H22"/>
    </sheetView>
  </sheetViews>
  <sheetFormatPr baseColWidth="10" defaultColWidth="12.6640625" defaultRowHeight="15" customHeight="1" x14ac:dyDescent="0.15"/>
  <cols>
    <col min="1" max="6" width="15.83203125" style="27" customWidth="1"/>
    <col min="7" max="14" width="15.83203125" customWidth="1"/>
  </cols>
  <sheetData>
    <row r="1" spans="2:6" ht="25" customHeight="1" thickBot="1" x14ac:dyDescent="0.2"/>
    <row r="2" spans="2:6" ht="25" customHeight="1" x14ac:dyDescent="0.25">
      <c r="B2" s="98" t="s">
        <v>20</v>
      </c>
      <c r="C2" s="104"/>
      <c r="D2" s="104"/>
      <c r="E2" s="105"/>
      <c r="F2" s="77"/>
    </row>
    <row r="3" spans="2:6" ht="25" customHeight="1" thickBot="1" x14ac:dyDescent="0.3">
      <c r="B3" s="106"/>
      <c r="C3" s="107"/>
      <c r="D3" s="107"/>
      <c r="E3" s="108"/>
      <c r="F3" s="77"/>
    </row>
    <row r="4" spans="2:6" ht="25" customHeight="1" x14ac:dyDescent="0.15">
      <c r="B4" s="59" t="s">
        <v>14</v>
      </c>
      <c r="C4" s="60" t="s">
        <v>0</v>
      </c>
      <c r="D4" s="60" t="s">
        <v>2</v>
      </c>
      <c r="E4" s="61" t="str">
        <f>'Raw Data'!Q2</f>
        <v>Natural Gas</v>
      </c>
      <c r="F4" s="81"/>
    </row>
    <row r="5" spans="2:6" ht="25" customHeight="1" thickBot="1" x14ac:dyDescent="0.2">
      <c r="B5" s="62" t="s">
        <v>15</v>
      </c>
      <c r="C5" s="63" t="s">
        <v>30</v>
      </c>
      <c r="D5" s="63" t="s">
        <v>27</v>
      </c>
      <c r="E5" s="64" t="s">
        <v>27</v>
      </c>
      <c r="F5" s="81"/>
    </row>
    <row r="6" spans="2:6" ht="25" customHeight="1" x14ac:dyDescent="0.15">
      <c r="B6" s="28" t="str">
        <f>'Raw Data'!B7</f>
        <v>Jun 22</v>
      </c>
      <c r="C6" s="10">
        <f>'Raw Data'!D7</f>
        <v>112187.25</v>
      </c>
      <c r="D6" s="10">
        <f>'Raw Data'!F7</f>
        <v>11246.72</v>
      </c>
      <c r="E6" s="11">
        <f>'Raw Data'!N7</f>
        <v>104545.84</v>
      </c>
      <c r="F6" s="80"/>
    </row>
    <row r="7" spans="2:6" ht="25" customHeight="1" x14ac:dyDescent="0.15">
      <c r="B7" s="28" t="str">
        <f>'Raw Data'!B8</f>
        <v>Jul 22</v>
      </c>
      <c r="C7" s="10">
        <f>'Raw Data'!D8</f>
        <v>105810.33</v>
      </c>
      <c r="D7" s="10">
        <f>'Raw Data'!F8</f>
        <v>9182.59</v>
      </c>
      <c r="E7" s="11">
        <f>'Raw Data'!N8</f>
        <v>96610.76</v>
      </c>
      <c r="F7" s="80"/>
    </row>
    <row r="8" spans="2:6" ht="25" customHeight="1" x14ac:dyDescent="0.15">
      <c r="B8" s="28" t="str">
        <f>'Raw Data'!B9</f>
        <v>Aug 22</v>
      </c>
      <c r="C8" s="10">
        <f>'Raw Data'!D9</f>
        <v>113295.70999999999</v>
      </c>
      <c r="D8" s="10">
        <f>'Raw Data'!F9</f>
        <v>10833.23</v>
      </c>
      <c r="E8" s="11">
        <f>'Raw Data'!N9</f>
        <v>89239.59</v>
      </c>
      <c r="F8" s="80"/>
    </row>
    <row r="9" spans="2:6" ht="25" customHeight="1" x14ac:dyDescent="0.15">
      <c r="B9" s="28" t="str">
        <f>'Raw Data'!B10</f>
        <v>Sep 22</v>
      </c>
      <c r="C9" s="10">
        <f>'Raw Data'!D10</f>
        <v>190071.66</v>
      </c>
      <c r="D9" s="10">
        <f>'Raw Data'!F10</f>
        <v>10877.58</v>
      </c>
      <c r="E9" s="11">
        <f>'Raw Data'!N10</f>
        <v>99192.69</v>
      </c>
      <c r="F9" s="80"/>
    </row>
    <row r="10" spans="2:6" ht="25" customHeight="1" x14ac:dyDescent="0.15">
      <c r="B10" s="28" t="str">
        <f>'Raw Data'!B11</f>
        <v>Oct 22</v>
      </c>
      <c r="C10" s="10">
        <f>'Raw Data'!D11</f>
        <v>107034.78</v>
      </c>
      <c r="D10" s="10">
        <f>'Raw Data'!F11</f>
        <v>11915.23</v>
      </c>
      <c r="E10" s="11">
        <f>'Raw Data'!N11</f>
        <v>95129.01</v>
      </c>
      <c r="F10" s="80"/>
    </row>
    <row r="11" spans="2:6" ht="25" customHeight="1" x14ac:dyDescent="0.15">
      <c r="B11" s="28" t="str">
        <f>'Raw Data'!B12</f>
        <v>Nov 22</v>
      </c>
      <c r="C11" s="10">
        <f>'Raw Data'!D12</f>
        <v>109757.79000000001</v>
      </c>
      <c r="D11" s="10">
        <f>'Raw Data'!F12</f>
        <v>11415.33</v>
      </c>
      <c r="E11" s="11">
        <f>'Raw Data'!N12</f>
        <v>77783.38</v>
      </c>
      <c r="F11" s="80"/>
    </row>
    <row r="12" spans="2:6" ht="25" customHeight="1" x14ac:dyDescent="0.15">
      <c r="B12" s="28" t="str">
        <f>'Raw Data'!B13</f>
        <v>Dec 22</v>
      </c>
      <c r="C12" s="10">
        <f>'Raw Data'!D13</f>
        <v>116930.2</v>
      </c>
      <c r="D12" s="10">
        <f>'Raw Data'!F13</f>
        <v>16318.08</v>
      </c>
      <c r="E12" s="11">
        <f>'Raw Data'!N13</f>
        <v>79413.899999999994</v>
      </c>
      <c r="F12" s="80"/>
    </row>
    <row r="13" spans="2:6" ht="25" customHeight="1" x14ac:dyDescent="0.15">
      <c r="B13" s="28" t="str">
        <f>'Raw Data'!B14</f>
        <v>Jan 23</v>
      </c>
      <c r="C13" s="10">
        <f>'Raw Data'!D14</f>
        <v>116021.33</v>
      </c>
      <c r="D13" s="10">
        <f>'Raw Data'!F14</f>
        <v>16362.32</v>
      </c>
      <c r="E13" s="11">
        <f>'Raw Data'!N14</f>
        <v>86054.1</v>
      </c>
      <c r="F13" s="80"/>
    </row>
    <row r="14" spans="2:6" ht="25" customHeight="1" x14ac:dyDescent="0.15">
      <c r="B14" s="28" t="str">
        <f>'Raw Data'!B15</f>
        <v>Feb 23</v>
      </c>
      <c r="C14" s="10">
        <f>'Raw Data'!D15</f>
        <v>105996.93</v>
      </c>
      <c r="D14" s="10">
        <f>'Raw Data'!F15</f>
        <v>11909.08</v>
      </c>
      <c r="E14" s="11">
        <f>'Raw Data'!N15</f>
        <v>79062.47</v>
      </c>
      <c r="F14" s="80"/>
    </row>
    <row r="15" spans="2:6" ht="25" customHeight="1" x14ac:dyDescent="0.15">
      <c r="B15" s="28" t="str">
        <f>'Raw Data'!B16</f>
        <v>Mar 23</v>
      </c>
      <c r="C15" s="10">
        <f>'Raw Data'!D16</f>
        <v>112845.42</v>
      </c>
      <c r="D15" s="10">
        <f>'Raw Data'!F16</f>
        <v>10557.39</v>
      </c>
      <c r="E15" s="11">
        <f>'Raw Data'!N16</f>
        <v>105077.37</v>
      </c>
      <c r="F15" s="80"/>
    </row>
    <row r="16" spans="2:6" ht="25" customHeight="1" x14ac:dyDescent="0.15">
      <c r="B16" s="28" t="str">
        <f>'Raw Data'!B17</f>
        <v>Apr 23</v>
      </c>
      <c r="C16" s="10">
        <f>'Raw Data'!D17</f>
        <v>112862.44</v>
      </c>
      <c r="D16" s="10">
        <f>'Raw Data'!F17</f>
        <v>9342.08</v>
      </c>
      <c r="E16" s="11">
        <f>'Raw Data'!N17</f>
        <v>118518.95</v>
      </c>
      <c r="F16" s="80"/>
    </row>
    <row r="17" spans="2:6" ht="25" customHeight="1" thickBot="1" x14ac:dyDescent="0.2">
      <c r="B17" s="45" t="str">
        <f>'Raw Data'!B18</f>
        <v>May 23</v>
      </c>
      <c r="C17" s="54">
        <f>'Raw Data'!D18</f>
        <v>116321.57</v>
      </c>
      <c r="D17" s="54">
        <f>'Raw Data'!F18</f>
        <v>11454.62</v>
      </c>
      <c r="E17" s="55">
        <f>'Raw Data'!N18</f>
        <v>128236.23</v>
      </c>
      <c r="F17" s="80"/>
    </row>
    <row r="18" spans="2:6" ht="25" customHeight="1" thickBot="1" x14ac:dyDescent="0.2">
      <c r="B18" s="65" t="s">
        <v>4</v>
      </c>
      <c r="C18" s="66">
        <f>'Raw Data'!D19</f>
        <v>1419135.41</v>
      </c>
      <c r="D18" s="66">
        <f>'Raw Data'!F19</f>
        <v>141414.25</v>
      </c>
      <c r="E18" s="67">
        <f>'Raw Data'!N19</f>
        <v>1158864.29</v>
      </c>
      <c r="F18" s="80"/>
    </row>
    <row r="19" spans="2:6" ht="25" customHeight="1" x14ac:dyDescent="0.15"/>
    <row r="20" spans="2:6" ht="12.75" customHeight="1" x14ac:dyDescent="0.15"/>
    <row r="21" spans="2:6" ht="12.75" customHeight="1" x14ac:dyDescent="0.15"/>
    <row r="22" spans="2:6" ht="12.75" customHeight="1" x14ac:dyDescent="0.15"/>
    <row r="23" spans="2:6" ht="12.75" customHeight="1" x14ac:dyDescent="0.15"/>
    <row r="24" spans="2:6" ht="12.75" customHeight="1" x14ac:dyDescent="0.15"/>
    <row r="25" spans="2:6" ht="12.75" customHeight="1" x14ac:dyDescent="0.15"/>
    <row r="26" spans="2:6" ht="12.75" customHeight="1" x14ac:dyDescent="0.15"/>
    <row r="27" spans="2:6" ht="12.75" customHeight="1" x14ac:dyDescent="0.15"/>
    <row r="28" spans="2:6" ht="12.75" customHeight="1" x14ac:dyDescent="0.15"/>
    <row r="29" spans="2:6" ht="12.75" customHeight="1" x14ac:dyDescent="0.15"/>
    <row r="30" spans="2:6" ht="12.75" customHeight="1" x14ac:dyDescent="0.15"/>
    <row r="31" spans="2:6" ht="12.75" customHeight="1" x14ac:dyDescent="0.15"/>
    <row r="32" spans="2:6" ht="12.75" customHeight="1" x14ac:dyDescent="0.15"/>
    <row r="33" spans="8:8" ht="12.75" customHeight="1" x14ac:dyDescent="0.15">
      <c r="H33" s="38"/>
    </row>
    <row r="34" spans="8:8" ht="12.75" customHeight="1" x14ac:dyDescent="0.15"/>
    <row r="35" spans="8:8" ht="12.75" customHeight="1" x14ac:dyDescent="0.15"/>
    <row r="36" spans="8:8" ht="12.75" customHeight="1" x14ac:dyDescent="0.15"/>
    <row r="37" spans="8:8" ht="12.75" customHeight="1" x14ac:dyDescent="0.15"/>
    <row r="38" spans="8:8" ht="12.75" customHeight="1" x14ac:dyDescent="0.15"/>
    <row r="39" spans="8:8" ht="12.75" customHeight="1" x14ac:dyDescent="0.15"/>
    <row r="40" spans="8:8" ht="12.75" customHeight="1" x14ac:dyDescent="0.15"/>
    <row r="41" spans="8:8" ht="12.75" customHeight="1" x14ac:dyDescent="0.15"/>
    <row r="42" spans="8:8" ht="12.75" customHeight="1" x14ac:dyDescent="0.15"/>
    <row r="43" spans="8:8" ht="12.75" customHeight="1" x14ac:dyDescent="0.15"/>
    <row r="44" spans="8:8" ht="12.75" customHeight="1" x14ac:dyDescent="0.15"/>
    <row r="45" spans="8:8" ht="12.75" customHeight="1" x14ac:dyDescent="0.15"/>
    <row r="46" spans="8:8" ht="12.75" customHeight="1" x14ac:dyDescent="0.15"/>
    <row r="47" spans="8:8" ht="12.75" customHeight="1" x14ac:dyDescent="0.15"/>
    <row r="48" spans="8: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2023-09-18T15:55:04Z</dcterms:modified>
</cp:coreProperties>
</file>