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ux215/Desktop/IAC-Automation/"/>
    </mc:Choice>
  </mc:AlternateContent>
  <xr:revisionPtr revIDLastSave="0" documentId="13_ncr:1_{3D4115F8-2A7C-7945-BE72-691743053624}" xr6:coauthVersionLast="47" xr6:coauthVersionMax="47" xr10:uidLastSave="{00000000-0000-0000-0000-000000000000}"/>
  <bookViews>
    <workbookView xWindow="0" yWindow="760" windowWidth="30240" windowHeight="17180" activeTab="13" xr2:uid="{00000000-000D-0000-FFFF-FFFF00000000}"/>
  </bookViews>
  <sheets>
    <sheet name="Raw Data" sheetId="3" r:id="rId1"/>
    <sheet name="N.Gas Value" sheetId="4" state="hidden" r:id="rId2"/>
    <sheet name="Electricty(KWH)" sheetId="6" state="hidden" r:id="rId3"/>
    <sheet name="Electricity Usage cost" sheetId="7" state="hidden" r:id="rId4"/>
    <sheet name="Demand" sheetId="8" state="hidden" r:id="rId5"/>
    <sheet name="Demand Cost" sheetId="9" state="hidden" r:id="rId6"/>
    <sheet name="Gas" sheetId="10" state="hidden" r:id="rId7"/>
    <sheet name="Gas $" sheetId="11" state="hidden" r:id="rId8"/>
    <sheet name="Monthly Charts" sheetId="12" r:id="rId9"/>
    <sheet name="Energy Usage Pie Chart" sheetId="13" state="hidden" r:id="rId10"/>
    <sheet name="Energy Cost  Pie Chart" sheetId="14" state="hidden" r:id="rId11"/>
    <sheet name="Pie Chart values" sheetId="15" state="hidden" r:id="rId12"/>
    <sheet name="Total Energy" sheetId="5" r:id="rId13"/>
    <sheet name="Monthly Cost" sheetId="16" r:id="rId14"/>
  </sheets>
  <definedNames>
    <definedName name="_xlnm._FilterDatabase" localSheetId="0" hidden="1">'Raw Data'!$K$1:$N$19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16"/>
  <c r="E8" i="16"/>
  <c r="E9" i="16"/>
  <c r="E10" i="16"/>
  <c r="E11" i="16"/>
  <c r="E12" i="16"/>
  <c r="E13" i="16"/>
  <c r="E14" i="16"/>
  <c r="E15" i="16"/>
  <c r="E16" i="16"/>
  <c r="E17" i="16"/>
  <c r="E6" i="16"/>
  <c r="D7" i="16"/>
  <c r="D8" i="16"/>
  <c r="D9" i="16"/>
  <c r="D10" i="16"/>
  <c r="D11" i="16"/>
  <c r="D12" i="16"/>
  <c r="D13" i="16"/>
  <c r="D14" i="16"/>
  <c r="D15" i="16"/>
  <c r="D16" i="16"/>
  <c r="D17" i="16"/>
  <c r="D6" i="16"/>
  <c r="C7" i="16"/>
  <c r="C8" i="16"/>
  <c r="C9" i="16"/>
  <c r="C10" i="16"/>
  <c r="C11" i="16"/>
  <c r="C12" i="16"/>
  <c r="C13" i="16"/>
  <c r="C14" i="16"/>
  <c r="C15" i="16"/>
  <c r="C16" i="16"/>
  <c r="C17" i="16"/>
  <c r="C6" i="16"/>
  <c r="B17" i="16"/>
  <c r="B6" i="16"/>
  <c r="I18" i="3"/>
  <c r="I9" i="3"/>
  <c r="I10" i="3"/>
  <c r="I11" i="3"/>
  <c r="I12" i="3"/>
  <c r="I13" i="3"/>
  <c r="I14" i="3"/>
  <c r="I15" i="3"/>
  <c r="I16" i="3"/>
  <c r="I17" i="3"/>
  <c r="I8" i="3"/>
  <c r="I7" i="3"/>
  <c r="M18" i="3"/>
  <c r="M9" i="3"/>
  <c r="M10" i="3"/>
  <c r="M11" i="3"/>
  <c r="M12" i="3"/>
  <c r="M13" i="3"/>
  <c r="M14" i="3"/>
  <c r="M15" i="3"/>
  <c r="M16" i="3"/>
  <c r="M17" i="3"/>
  <c r="M8" i="3"/>
  <c r="M7" i="3"/>
  <c r="G18" i="3"/>
  <c r="G9" i="3"/>
  <c r="G10" i="3"/>
  <c r="G11" i="3"/>
  <c r="G12" i="3"/>
  <c r="G13" i="3"/>
  <c r="G14" i="3"/>
  <c r="G15" i="3"/>
  <c r="G16" i="3"/>
  <c r="G17" i="3"/>
  <c r="G8" i="3"/>
  <c r="G7" i="3"/>
  <c r="B18" i="3"/>
  <c r="K18" i="3" s="1"/>
  <c r="B8" i="3"/>
  <c r="B9" i="3" s="1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10" i="15"/>
  <c r="B10" i="15"/>
  <c r="F9" i="15"/>
  <c r="B9" i="15"/>
  <c r="F8" i="15"/>
  <c r="B8" i="15"/>
  <c r="F7" i="15"/>
  <c r="B7" i="15"/>
  <c r="F6" i="15"/>
  <c r="B6" i="15"/>
  <c r="D17" i="4"/>
  <c r="C7" i="15" s="1"/>
  <c r="B17" i="4"/>
  <c r="C15" i="4"/>
  <c r="C14" i="4"/>
  <c r="C13" i="4"/>
  <c r="C12" i="4"/>
  <c r="C11" i="4"/>
  <c r="C10" i="4"/>
  <c r="C9" i="4"/>
  <c r="C8" i="4"/>
  <c r="C7" i="4"/>
  <c r="C6" i="4"/>
  <c r="C5" i="4"/>
  <c r="C17" i="4" s="1"/>
  <c r="C19" i="4" s="1"/>
  <c r="N19" i="3"/>
  <c r="L19" i="3"/>
  <c r="K7" i="3"/>
  <c r="B8" i="16" l="1"/>
  <c r="K9" i="3"/>
  <c r="B10" i="3"/>
  <c r="E18" i="16"/>
  <c r="B7" i="16"/>
  <c r="B11" i="3"/>
  <c r="K8" i="3"/>
  <c r="M19" i="3"/>
  <c r="D7" i="5" s="1"/>
  <c r="C11" i="15" s="1"/>
  <c r="F19" i="3"/>
  <c r="D18" i="16" s="1"/>
  <c r="E19" i="3"/>
  <c r="E7" i="5"/>
  <c r="B10" i="16" l="1"/>
  <c r="K11" i="3"/>
  <c r="B9" i="16"/>
  <c r="K10" i="3"/>
  <c r="B12" i="3"/>
  <c r="C6" i="15"/>
  <c r="D23" i="3"/>
  <c r="D24" i="3"/>
  <c r="D19" i="3"/>
  <c r="I19" i="3"/>
  <c r="D5" i="5" s="1"/>
  <c r="D8" i="5" s="1"/>
  <c r="H19" i="3"/>
  <c r="E8" i="5" s="1"/>
  <c r="C19" i="3"/>
  <c r="C5" i="5" s="1"/>
  <c r="G19" i="3"/>
  <c r="B11" i="16" l="1"/>
  <c r="K12" i="3"/>
  <c r="C18" i="16"/>
  <c r="B13" i="3"/>
  <c r="C10" i="15"/>
  <c r="D21" i="3"/>
  <c r="D22" i="3"/>
  <c r="C5" i="15"/>
  <c r="B12" i="16" l="1"/>
  <c r="K13" i="3"/>
  <c r="B14" i="3"/>
  <c r="B13" i="16" l="1"/>
  <c r="K14" i="3"/>
  <c r="B15" i="3"/>
  <c r="B14" i="16" l="1"/>
  <c r="K15" i="3"/>
  <c r="B16" i="3"/>
  <c r="K16" i="3" l="1"/>
  <c r="B15" i="16"/>
  <c r="B17" i="3"/>
  <c r="B16" i="16" l="1"/>
  <c r="K17" i="3"/>
</calcChain>
</file>

<file path=xl/sharedStrings.xml><?xml version="1.0" encoding="utf-8"?>
<sst xmlns="http://schemas.openxmlformats.org/spreadsheetml/2006/main" count="118" uniqueCount="71">
  <si>
    <t>Electricity</t>
  </si>
  <si>
    <t>Peak</t>
  </si>
  <si>
    <t>Demand</t>
  </si>
  <si>
    <t>Other</t>
  </si>
  <si>
    <t>Total</t>
  </si>
  <si>
    <t>Usage</t>
  </si>
  <si>
    <t>Charge</t>
  </si>
  <si>
    <t>Fees</t>
  </si>
  <si>
    <t>[kWh]</t>
  </si>
  <si>
    <t>[$]</t>
  </si>
  <si>
    <t>[kW]</t>
  </si>
  <si>
    <t>[MMBtu]</t>
  </si>
  <si>
    <t xml:space="preserve"> per kWh</t>
  </si>
  <si>
    <t xml:space="preserve"> per kW</t>
  </si>
  <si>
    <t>Total Natural Gas Usage and Cost by Month</t>
  </si>
  <si>
    <t>Billing</t>
  </si>
  <si>
    <t>Month</t>
  </si>
  <si>
    <t>Cost</t>
  </si>
  <si>
    <t xml:space="preserve">Total </t>
  </si>
  <si>
    <t>Average cost of Gas :</t>
  </si>
  <si>
    <t xml:space="preserve"> per MMBtu</t>
  </si>
  <si>
    <t>kWh</t>
  </si>
  <si>
    <t>Total  Propane Usage and Cost by Month</t>
  </si>
  <si>
    <t xml:space="preserve"> Cost</t>
  </si>
  <si>
    <t>(CCF)</t>
  </si>
  <si>
    <t>(MMBtu)</t>
  </si>
  <si>
    <t>($)</t>
  </si>
  <si>
    <t>Sep. 10</t>
  </si>
  <si>
    <t>Aug. 10</t>
  </si>
  <si>
    <t>Jul. 10</t>
  </si>
  <si>
    <t>Jun. 10</t>
  </si>
  <si>
    <t>May. 10</t>
  </si>
  <si>
    <t>Apr. 10</t>
  </si>
  <si>
    <t>Mar. 10</t>
  </si>
  <si>
    <t>Feb. 10</t>
  </si>
  <si>
    <t>Jan. 10</t>
  </si>
  <si>
    <t>Dec. 09</t>
  </si>
  <si>
    <t>Nov. 09</t>
  </si>
  <si>
    <t>Oct. 09</t>
  </si>
  <si>
    <t>Total Monthly Energy Costs</t>
  </si>
  <si>
    <t>Source</t>
  </si>
  <si>
    <t>MMBTU</t>
  </si>
  <si>
    <t>-</t>
  </si>
  <si>
    <t>electric charge</t>
  </si>
  <si>
    <t>Mar. 08</t>
  </si>
  <si>
    <t>Apr. 08</t>
  </si>
  <si>
    <t>May. 08</t>
  </si>
  <si>
    <t>Jun. 08</t>
  </si>
  <si>
    <t>Jul. 08</t>
  </si>
  <si>
    <t>Aug. 08</t>
  </si>
  <si>
    <t>Sep. 08</t>
  </si>
  <si>
    <t>Oct. 08</t>
  </si>
  <si>
    <t>Nov. 08</t>
  </si>
  <si>
    <t>Dec. 08</t>
  </si>
  <si>
    <t>Jan. 09</t>
  </si>
  <si>
    <t>Feb. 09</t>
  </si>
  <si>
    <t>Total Electricity Usage and Cost by Month</t>
  </si>
  <si>
    <t>Mult. By</t>
  </si>
  <si>
    <t>Electricity Cost:</t>
  </si>
  <si>
    <t>Demand Cost:</t>
  </si>
  <si>
    <t>Natural Gas Cost :</t>
  </si>
  <si>
    <t>[DTH]</t>
  </si>
  <si>
    <t>[Therm]</t>
  </si>
  <si>
    <t>[Mcf]</t>
  </si>
  <si>
    <t>[Ccf]</t>
  </si>
  <si>
    <t>to MMBtu</t>
  </si>
  <si>
    <r>
      <t xml:space="preserve"> </t>
    </r>
    <r>
      <rPr>
        <b/>
        <sz val="14"/>
        <color theme="1"/>
        <rFont val="Arial"/>
        <family val="2"/>
      </rPr>
      <t>per MMBtu</t>
    </r>
  </si>
  <si>
    <t>Cost [$]</t>
  </si>
  <si>
    <t>Total Energy Usage and Cost</t>
  </si>
  <si>
    <t>Natural Gas</t>
  </si>
  <si>
    <t xml:space="preserve">Cost [$]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</si>
</sst>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0"/>
    <numFmt numFmtId="166" formatCode="&quot;$&quot;#,##0.00"/>
    <numFmt numFmtId="167" formatCode="_(&quot;$&quot;* #,##0.000_);_(&quot;$&quot;* \(#,##0.000\);_(&quot;$&quot;* &quot;-&quot;??_);_(@_)"/>
    <numFmt numFmtId="168" formatCode="mm/dd/yy"/>
    <numFmt numFmtId="169" formatCode="0.0"/>
    <numFmt numFmtId="170" formatCode="_(* #,##0_);_(* \(#,##0\);_(* &quot;-&quot;??_);_(@_)"/>
    <numFmt numFmtId="171" formatCode="0.000"/>
    <numFmt numFmtId="172" formatCode="mmm\ yy"/>
  </numFmts>
  <fonts count="20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0"/>
      <color theme="1"/>
      <name val="Arial"/>
      <family val="2"/>
    </font>
    <font>
      <b/>
      <sz val="14"/>
      <color theme="1"/>
      <name val="Balthazar"/>
    </font>
    <font>
      <b/>
      <sz val="10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sz val="14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7" fillId="2" borderId="9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8" fontId="8" fillId="0" borderId="13" xfId="0" applyNumberFormat="1" applyFont="1" applyBorder="1" applyAlignment="1">
      <alignment horizontal="center" vertical="center"/>
    </xf>
    <xf numFmtId="37" fontId="8" fillId="0" borderId="6" xfId="0" applyNumberFormat="1" applyFont="1" applyBorder="1" applyAlignment="1">
      <alignment horizontal="center" vertical="center"/>
    </xf>
    <xf numFmtId="169" fontId="8" fillId="0" borderId="14" xfId="0" applyNumberFormat="1" applyFont="1" applyBorder="1" applyAlignment="1">
      <alignment horizontal="center" vertical="center"/>
    </xf>
    <xf numFmtId="37" fontId="8" fillId="0" borderId="1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70" fontId="9" fillId="0" borderId="0" xfId="0" applyNumberFormat="1" applyFont="1" applyAlignment="1">
      <alignment horizontal="center"/>
    </xf>
    <xf numFmtId="168" fontId="8" fillId="0" borderId="16" xfId="0" applyNumberFormat="1" applyFont="1" applyBorder="1" applyAlignment="1">
      <alignment horizontal="center" vertical="center"/>
    </xf>
    <xf numFmtId="37" fontId="8" fillId="0" borderId="14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170" fontId="4" fillId="0" borderId="0" xfId="0" applyNumberFormat="1" applyFont="1"/>
    <xf numFmtId="168" fontId="8" fillId="0" borderId="18" xfId="0" applyNumberFormat="1" applyFont="1" applyBorder="1" applyAlignment="1">
      <alignment horizontal="center" vertical="center"/>
    </xf>
    <xf numFmtId="37" fontId="8" fillId="0" borderId="19" xfId="0" applyNumberFormat="1" applyFont="1" applyBorder="1" applyAlignment="1">
      <alignment horizontal="center" vertical="center"/>
    </xf>
    <xf numFmtId="37" fontId="8" fillId="0" borderId="20" xfId="0" applyNumberFormat="1" applyFont="1" applyBorder="1" applyAlignment="1">
      <alignment horizontal="center" vertical="center"/>
    </xf>
    <xf numFmtId="14" fontId="7" fillId="0" borderId="21" xfId="0" applyNumberFormat="1" applyFont="1" applyBorder="1" applyAlignment="1">
      <alignment horizontal="center" vertical="center"/>
    </xf>
    <xf numFmtId="37" fontId="8" fillId="0" borderId="8" xfId="0" applyNumberFormat="1" applyFont="1" applyBorder="1" applyAlignment="1">
      <alignment horizontal="center" vertical="center"/>
    </xf>
    <xf numFmtId="37" fontId="8" fillId="0" borderId="22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left"/>
    </xf>
    <xf numFmtId="14" fontId="10" fillId="0" borderId="0" xfId="0" applyNumberFormat="1" applyFont="1"/>
    <xf numFmtId="166" fontId="10" fillId="0" borderId="0" xfId="0" applyNumberFormat="1" applyFont="1" applyAlignment="1">
      <alignment horizontal="center"/>
    </xf>
    <xf numFmtId="169" fontId="9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42" fontId="3" fillId="0" borderId="0" xfId="0" applyNumberFormat="1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4" fontId="4" fillId="0" borderId="0" xfId="0" applyNumberFormat="1" applyFont="1"/>
    <xf numFmtId="168" fontId="14" fillId="0" borderId="35" xfId="0" applyNumberFormat="1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4" fillId="2" borderId="25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37" fontId="15" fillId="0" borderId="7" xfId="1" applyNumberFormat="1" applyFont="1" applyBorder="1" applyAlignment="1">
      <alignment horizontal="right" vertical="center"/>
    </xf>
    <xf numFmtId="37" fontId="15" fillId="0" borderId="30" xfId="1" applyNumberFormat="1" applyFont="1" applyBorder="1" applyAlignment="1">
      <alignment horizontal="right" vertical="center"/>
    </xf>
    <xf numFmtId="37" fontId="15" fillId="0" borderId="7" xfId="0" applyNumberFormat="1" applyFont="1" applyBorder="1" applyAlignment="1">
      <alignment horizontal="right" vertical="center"/>
    </xf>
    <xf numFmtId="37" fontId="15" fillId="0" borderId="30" xfId="0" applyNumberFormat="1" applyFont="1" applyBorder="1" applyAlignment="1">
      <alignment horizontal="right" vertical="center"/>
    </xf>
    <xf numFmtId="37" fontId="15" fillId="0" borderId="3" xfId="1" applyNumberFormat="1" applyFont="1" applyBorder="1" applyAlignment="1">
      <alignment horizontal="right" vertical="center"/>
    </xf>
    <xf numFmtId="37" fontId="15" fillId="0" borderId="32" xfId="1" applyNumberFormat="1" applyFont="1" applyBorder="1" applyAlignment="1">
      <alignment horizontal="right" vertical="center"/>
    </xf>
    <xf numFmtId="37" fontId="15" fillId="0" borderId="3" xfId="0" applyNumberFormat="1" applyFont="1" applyBorder="1" applyAlignment="1">
      <alignment horizontal="right" vertical="center"/>
    </xf>
    <xf numFmtId="37" fontId="15" fillId="0" borderId="32" xfId="0" applyNumberFormat="1" applyFont="1" applyBorder="1" applyAlignment="1">
      <alignment horizontal="right" vertical="center"/>
    </xf>
    <xf numFmtId="37" fontId="15" fillId="0" borderId="24" xfId="1" applyNumberFormat="1" applyFont="1" applyBorder="1" applyAlignment="1">
      <alignment horizontal="right" vertical="center"/>
    </xf>
    <xf numFmtId="37" fontId="15" fillId="0" borderId="34" xfId="1" applyNumberFormat="1" applyFont="1" applyBorder="1" applyAlignment="1">
      <alignment horizontal="right" vertical="center"/>
    </xf>
    <xf numFmtId="37" fontId="15" fillId="0" borderId="24" xfId="0" applyNumberFormat="1" applyFont="1" applyBorder="1" applyAlignment="1">
      <alignment horizontal="right" vertical="center"/>
    </xf>
    <xf numFmtId="37" fontId="15" fillId="0" borderId="34" xfId="0" applyNumberFormat="1" applyFont="1" applyBorder="1" applyAlignment="1">
      <alignment horizontal="right" vertical="center"/>
    </xf>
    <xf numFmtId="0" fontId="14" fillId="0" borderId="35" xfId="0" applyFont="1" applyBorder="1" applyAlignment="1">
      <alignment horizontal="center" vertical="center"/>
    </xf>
    <xf numFmtId="37" fontId="14" fillId="0" borderId="36" xfId="1" applyNumberFormat="1" applyFont="1" applyBorder="1" applyAlignment="1">
      <alignment horizontal="right" vertical="center"/>
    </xf>
    <xf numFmtId="37" fontId="14" fillId="3" borderId="36" xfId="1" applyNumberFormat="1" applyFont="1" applyFill="1" applyBorder="1" applyAlignment="1">
      <alignment horizontal="right" vertical="center"/>
    </xf>
    <xf numFmtId="37" fontId="14" fillId="0" borderId="37" xfId="1" applyNumberFormat="1" applyFont="1" applyBorder="1" applyAlignment="1">
      <alignment horizontal="right" vertical="center"/>
    </xf>
    <xf numFmtId="14" fontId="14" fillId="0" borderId="35" xfId="0" applyNumberFormat="1" applyFont="1" applyBorder="1" applyAlignment="1">
      <alignment horizontal="center" vertical="center"/>
    </xf>
    <xf numFmtId="37" fontId="14" fillId="0" borderId="36" xfId="0" applyNumberFormat="1" applyFont="1" applyBorder="1" applyAlignment="1">
      <alignment horizontal="right" vertical="center"/>
    </xf>
    <xf numFmtId="37" fontId="14" fillId="0" borderId="37" xfId="0" applyNumberFormat="1" applyFont="1" applyBorder="1" applyAlignment="1">
      <alignment horizontal="right" vertical="center"/>
    </xf>
    <xf numFmtId="3" fontId="15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7" fontId="14" fillId="0" borderId="3" xfId="0" applyNumberFormat="1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right" vertical="center"/>
    </xf>
    <xf numFmtId="44" fontId="14" fillId="0" borderId="3" xfId="0" applyNumberFormat="1" applyFont="1" applyBorder="1" applyAlignment="1">
      <alignment horizontal="right" vertical="center"/>
    </xf>
    <xf numFmtId="0" fontId="15" fillId="0" borderId="3" xfId="0" applyFont="1" applyBorder="1" applyAlignment="1">
      <alignment horizontal="left" vertical="center"/>
    </xf>
    <xf numFmtId="169" fontId="12" fillId="0" borderId="3" xfId="0" applyNumberFormat="1" applyFont="1" applyBorder="1" applyAlignment="1">
      <alignment horizontal="right" vertical="center"/>
    </xf>
    <xf numFmtId="44" fontId="14" fillId="0" borderId="3" xfId="0" applyNumberFormat="1" applyFont="1" applyBorder="1" applyAlignment="1">
      <alignment vertical="center"/>
    </xf>
    <xf numFmtId="171" fontId="12" fillId="0" borderId="3" xfId="0" applyNumberFormat="1" applyFont="1" applyBorder="1" applyAlignment="1">
      <alignment horizontal="right" vertical="center"/>
    </xf>
    <xf numFmtId="166" fontId="14" fillId="0" borderId="3" xfId="0" applyNumberFormat="1" applyFont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17" fillId="0" borderId="0" xfId="0" applyFont="1"/>
    <xf numFmtId="172" fontId="15" fillId="0" borderId="29" xfId="0" applyNumberFormat="1" applyFont="1" applyBorder="1" applyAlignment="1">
      <alignment horizontal="center" vertical="center"/>
    </xf>
    <xf numFmtId="172" fontId="15" fillId="0" borderId="33" xfId="0" applyNumberFormat="1" applyFont="1" applyBorder="1" applyAlignment="1">
      <alignment horizontal="center" vertical="center"/>
    </xf>
    <xf numFmtId="172" fontId="15" fillId="0" borderId="31" xfId="0" applyNumberFormat="1" applyFont="1" applyBorder="1" applyAlignment="1">
      <alignment horizontal="center" vertical="center"/>
    </xf>
    <xf numFmtId="0" fontId="15" fillId="0" borderId="0" xfId="0" applyFont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42" fontId="14" fillId="0" borderId="0" xfId="0" applyNumberFormat="1" applyFont="1" applyAlignment="1">
      <alignment horizontal="center" vertical="center"/>
    </xf>
    <xf numFmtId="37" fontId="15" fillId="0" borderId="26" xfId="0" applyNumberFormat="1" applyFont="1" applyBorder="1" applyAlignment="1">
      <alignment horizontal="right" vertical="center"/>
    </xf>
    <xf numFmtId="37" fontId="15" fillId="0" borderId="14" xfId="0" applyNumberFormat="1" applyFont="1" applyBorder="1" applyAlignment="1">
      <alignment horizontal="center" vertical="center"/>
    </xf>
    <xf numFmtId="37" fontId="14" fillId="0" borderId="36" xfId="0" applyNumberFormat="1" applyFont="1" applyBorder="1" applyAlignment="1">
      <alignment horizontal="center" vertical="center"/>
    </xf>
    <xf numFmtId="37" fontId="15" fillId="0" borderId="24" xfId="0" applyNumberFormat="1" applyFont="1" applyBorder="1" applyAlignment="1">
      <alignment horizontal="center" vertical="center"/>
    </xf>
    <xf numFmtId="37" fontId="15" fillId="0" borderId="36" xfId="0" applyNumberFormat="1" applyFont="1" applyBorder="1" applyAlignment="1">
      <alignment horizontal="right" vertical="center"/>
    </xf>
    <xf numFmtId="37" fontId="15" fillId="0" borderId="37" xfId="0" applyNumberFormat="1" applyFont="1" applyBorder="1" applyAlignment="1">
      <alignment horizontal="right" vertical="center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  <xf numFmtId="14" fontId="7" fillId="0" borderId="0" xfId="0" applyNumberFormat="1" applyFont="1" applyAlignment="1">
      <alignment horizontal="right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3" fillId="0" borderId="39" xfId="0" applyFont="1" applyBorder="1"/>
    <xf numFmtId="0" fontId="13" fillId="0" borderId="40" xfId="0" applyFont="1" applyBorder="1"/>
    <xf numFmtId="0" fontId="13" fillId="0" borderId="41" xfId="0" applyFont="1" applyBorder="1"/>
    <xf numFmtId="0" fontId="13" fillId="0" borderId="42" xfId="0" applyFont="1" applyBorder="1"/>
    <xf numFmtId="0" fontId="13" fillId="0" borderId="43" xfId="0" applyFont="1" applyBorder="1"/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7248"/>
      <color rgb="FF66A6CC"/>
      <color rgb="FF91BFDB"/>
      <color rgb="FFCCCC66"/>
      <color rgb="FFFFFFBF"/>
      <color rgb="FFFFFF3F"/>
      <color rgb="FFFFFF33"/>
      <color rgb="FF2B98DB"/>
      <color rgb="FFFC8D59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5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 Electricity Usage (kWh)
</a:t>
            </a:r>
          </a:p>
        </c:rich>
      </c:tx>
      <c:layout>
        <c:manualLayout>
          <c:xMode val="edge"/>
          <c:yMode val="edge"/>
          <c:x val="0.39733623598053713"/>
          <c:y val="4.8940036341611221E-3"/>
        </c:manualLayout>
      </c:layout>
      <c:overlay val="0"/>
    </c:title>
    <c:autoTitleDeleted val="0"/>
    <c:plotArea>
      <c:layout>
        <c:manualLayout>
          <c:xMode val="edge"/>
          <c:yMode val="edge"/>
          <c:x val="0.113207547169811"/>
          <c:y val="5.5464926590538637E-2"/>
          <c:w val="0.85238623751387943"/>
          <c:h val="0.82381729200652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'Raw Data'!$B$10:$B$18</c:f>
              <c:numCache>
                <c:formatCode>mmm\ yy</c:formatCode>
                <c:ptCount val="9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</c:numCache>
            </c:numRef>
          </c:cat>
          <c:val>
            <c:numRef>
              <c:f>'Raw Data'!$C$10:$C$18</c:f>
              <c:numCache>
                <c:formatCode>#,##0_);\(#,##0\)</c:formatCode>
                <c:ptCount val="9"/>
                <c:pt idx="0">
                  <c:v>2358602</c:v>
                </c:pt>
                <c:pt idx="1">
                  <c:v>1338996</c:v>
                </c:pt>
                <c:pt idx="2">
                  <c:v>1338142</c:v>
                </c:pt>
                <c:pt idx="3">
                  <c:v>1456049</c:v>
                </c:pt>
                <c:pt idx="4">
                  <c:v>1464718</c:v>
                </c:pt>
                <c:pt idx="5">
                  <c:v>1293209</c:v>
                </c:pt>
                <c:pt idx="6">
                  <c:v>1384787.9878681675</c:v>
                </c:pt>
                <c:pt idx="7">
                  <c:v>1458890</c:v>
                </c:pt>
                <c:pt idx="8">
                  <c:v>1430891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CA-6F46-8D3B-83239066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885034"/>
        <c:axId val="857699126"/>
      </c:barChart>
      <c:dateAx>
        <c:axId val="1383885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50721419019946878"/>
              <c:y val="0.92822179551615003"/>
            </c:manualLayout>
          </c:layout>
          <c:overlay val="0"/>
        </c:title>
        <c:numFmt formatCode="mmm\ yy" sourceLinked="1"/>
        <c:majorTickMark val="out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699126"/>
        <c:crosses val="autoZero"/>
        <c:auto val="1"/>
        <c:lblOffset val="100"/>
        <c:baseTimeUnit val="months"/>
      </c:dateAx>
      <c:valAx>
        <c:axId val="857699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7757997641599098E-2"/>
              <c:y val="0.46492656503043622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3885034"/>
        <c:crosses val="autoZero"/>
        <c:crossBetween val="between"/>
      </c:valAx>
    </c:plotArea>
    <c:plotVisOnly val="1"/>
    <c:dispBlanksAs val="zero"/>
    <c:showDLblsOverMax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Charge vs. Billing Month</a:t>
            </a:r>
          </a:p>
        </c:rich>
      </c:tx>
      <c:layout>
        <c:manualLayout>
          <c:xMode val="edge"/>
          <c:yMode val="edge"/>
          <c:x val="0.205422317002041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22699766695835"/>
          <c:y val="0.19700185914260715"/>
          <c:w val="0.74898603820355791"/>
          <c:h val="0.62644603018372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35-E042-BCBF-5F808716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082369"/>
        <c:axId val="383855701"/>
      </c:barChart>
      <c:dateAx>
        <c:axId val="2808236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5701"/>
        <c:crosses val="autoZero"/>
        <c:auto val="1"/>
        <c:lblOffset val="100"/>
        <c:baseTimeUnit val="months"/>
      </c:dateAx>
      <c:valAx>
        <c:axId val="383855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Usage Charge [$]</a:t>
                </a:r>
              </a:p>
            </c:rich>
          </c:tx>
          <c:layout>
            <c:manualLayout>
              <c:xMode val="edge"/>
              <c:yMode val="edge"/>
              <c:x val="2.2185768445610967E-3"/>
              <c:y val="0.30071959755030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Charge vs. Billing Month</a:t>
            </a:r>
          </a:p>
        </c:rich>
      </c:tx>
      <c:layout>
        <c:manualLayout>
          <c:xMode val="edge"/>
          <c:yMode val="edge"/>
          <c:x val="0.21872940361621465"/>
          <c:y val="3.14987970253718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1628025663459"/>
          <c:y val="0.19903433945756779"/>
          <c:w val="0.74364792942548852"/>
          <c:h val="0.62358349737532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B75-2F4C-B98F-7CB4401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330797"/>
        <c:axId val="1620900580"/>
      </c:barChart>
      <c:dateAx>
        <c:axId val="1083307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0580"/>
        <c:crosses val="autoZero"/>
        <c:auto val="1"/>
        <c:lblOffset val="100"/>
        <c:baseTimeUnit val="months"/>
      </c:dateAx>
      <c:valAx>
        <c:axId val="1620900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Demand Charge [$]</a:t>
                </a:r>
              </a:p>
            </c:rich>
          </c:tx>
          <c:layout>
            <c:manualLayout>
              <c:xMode val="edge"/>
              <c:yMode val="edge"/>
              <c:x val="1.7446777486147566E-3"/>
              <c:y val="0.28942749343832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Charge vs. Billing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8716827063283"/>
          <c:y val="0.1707740048118985"/>
          <c:w val="0.7497389909594635"/>
          <c:h val="0.62584700349956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'Raw Data'!$K$7:$K$18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C21-8444-86C9-B06B9A23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425962"/>
        <c:axId val="1807436536"/>
      </c:barChart>
      <c:dateAx>
        <c:axId val="11624259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6536"/>
        <c:crosses val="autoZero"/>
        <c:auto val="1"/>
        <c:lblOffset val="100"/>
        <c:baseTimeUnit val="months"/>
      </c:dateAx>
      <c:valAx>
        <c:axId val="1807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Natural Gas Cost [$]</a:t>
                </a:r>
              </a:p>
            </c:rich>
          </c:tx>
          <c:layout>
            <c:manualLayout>
              <c:xMode val="edge"/>
              <c:yMode val="edge"/>
              <c:x val="7.2798191892679994E-4"/>
              <c:y val="0.2342989938757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25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9732441471571893"/>
          <c:y val="0.30114566284779098"/>
          <c:w val="0.63173541434411751"/>
          <c:h val="0.3671576650300071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630B-6447-9F42-6542D0A84275}"/>
              </c:ext>
            </c:extLst>
          </c:dPt>
          <c:dPt>
            <c:idx val="1"/>
            <c:bubble3D val="0"/>
            <c:explosion val="2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630B-6447-9F42-6542D0A84275}"/>
              </c:ext>
            </c:extLst>
          </c:dPt>
          <c:val>
            <c:numRef>
              <c:f>'Pie Chart values'!$C$10:$C$11</c:f>
              <c:numCache>
                <c:formatCode>_(* #,##0_);_(* \(#,##0\);_(* "-"??_);_(@_)</c:formatCode>
                <c:ptCount val="2"/>
                <c:pt idx="0">
                  <c:v>182209.74345032181</c:v>
                </c:pt>
                <c:pt idx="1">
                  <c:v>392326.57996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B-6447-9F42-6542D0A8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71123295206828319"/>
          <c:y val="0.2567111271483859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Arial"/>
              </a:defRPr>
            </a:pPr>
            <a:r>
              <a:rPr sz="1000" b="1" i="0">
                <a:solidFill>
                  <a:srgbClr val="000000"/>
                </a:solidFill>
                <a:latin typeface="Arial"/>
              </a:rPr>
              <a:t>Annual Energy Charges($)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2047097791705802"/>
          <c:y val="0.15638972297039005"/>
          <c:w val="0.78284102447060522"/>
          <c:h val="0.7316504504040164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4FCA-EC48-8A2E-95FFEDCD573E}"/>
              </c:ext>
            </c:extLst>
          </c:dPt>
          <c:dPt>
            <c:idx val="1"/>
            <c:bubble3D val="0"/>
            <c:explosion val="8"/>
            <c:spPr>
              <a:solidFill>
                <a:srgbClr val="993366"/>
              </a:solidFill>
            </c:spPr>
            <c:extLst>
              <c:ext xmlns:c16="http://schemas.microsoft.com/office/drawing/2014/chart" uri="{C3380CC4-5D6E-409C-BE32-E72D297353CC}">
                <c16:uniqueId val="{00000003-4FCA-EC48-8A2E-95FFEDCD573E}"/>
              </c:ext>
            </c:extLst>
          </c:dPt>
          <c:dPt>
            <c:idx val="2"/>
            <c:bubble3D val="0"/>
            <c:explosion val="8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5-4FCA-EC48-8A2E-95FFEDCD573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'Pie Chart values'!$C$5:$C$7</c:f>
              <c:numCache>
                <c:formatCode>"$"#,##0</c:formatCode>
                <c:ptCount val="3"/>
                <c:pt idx="0">
                  <c:v>1419135.41</c:v>
                </c:pt>
                <c:pt idx="1">
                  <c:v>141414.25</c:v>
                </c:pt>
                <c:pt idx="2">
                  <c:v>22347.11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CA-EC48-8A2E-95FFEDCD5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Usage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44-D242-994D-DE927F3DBFD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44-D242-994D-DE927F3DBFD5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44-D242-994D-DE927F3DBFD5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44-D242-994D-DE927F3DBFD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('Total Energy'!$B$5,'Total Energy'!$B$7)</c:f>
              <c:strCache>
                <c:ptCount val="2"/>
                <c:pt idx="0">
                  <c:v>Electricity</c:v>
                </c:pt>
                <c:pt idx="1">
                  <c:v>Natural Gas</c:v>
                </c:pt>
              </c:strCache>
            </c:strRef>
          </c:cat>
          <c:val>
            <c:numRef>
              <c:f>('Total Energy'!$D$5,'Total Energy'!$D$7)</c:f>
              <c:numCache>
                <c:formatCode>#,##0_);\(#,##0\)</c:formatCode>
                <c:ptCount val="2"/>
                <c:pt idx="0">
                  <c:v>182209.74345032181</c:v>
                </c:pt>
                <c:pt idx="1">
                  <c:v>392326.57996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4-D242-994D-DE927F3DBF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Cost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2C-5845-BABE-D491F10278A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2C-5845-BABE-D491F10278A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2C-5845-BABE-D491F10278A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42C-5845-BABE-D491F10278A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0">
                        <a:noFill/>
                      </a:ln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42C-5845-BABE-D491F10278A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42C-5845-BABE-D491F1027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DFC27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Energy'!$B$5:$B$7</c:f>
              <c:strCache>
                <c:ptCount val="3"/>
                <c:pt idx="0">
                  <c:v>Electricity</c:v>
                </c:pt>
                <c:pt idx="1">
                  <c:v>Demand</c:v>
                </c:pt>
                <c:pt idx="2">
                  <c:v>Natural Gas</c:v>
                </c:pt>
              </c:strCache>
            </c:strRef>
          </c:cat>
          <c:val>
            <c:numRef>
              <c:f>'Total Energy'!$E$5:$E$7</c:f>
              <c:numCache>
                <c:formatCode>#,##0_);\(#,##0\)</c:formatCode>
                <c:ptCount val="3"/>
                <c:pt idx="0">
                  <c:v>1419135.41</c:v>
                </c:pt>
                <c:pt idx="1">
                  <c:v>141414.25</c:v>
                </c:pt>
                <c:pt idx="2">
                  <c:v>1158864.29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2C-5845-BABE-D491F10278A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Energy Cost vs. Billing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92984758484137"/>
          <c:y val="0.10960502333041704"/>
          <c:w val="0.8316330524473915"/>
          <c:h val="0.74974281860600744"/>
        </c:manualLayout>
      </c:layout>
      <c:barChart>
        <c:barDir val="col"/>
        <c:grouping val="clustered"/>
        <c:varyColors val="1"/>
        <c:ser>
          <c:idx val="0"/>
          <c:order val="0"/>
          <c:tx>
            <c:v>Electricity Charge</c:v>
          </c:tx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E-1D4B-B464-CBE402335572}"/>
              </c:ext>
            </c:extLst>
          </c:dPt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EDE-1D4B-B464-CBE402335572}"/>
            </c:ext>
          </c:extLst>
        </c:ser>
        <c:ser>
          <c:idx val="1"/>
          <c:order val="1"/>
          <c:tx>
            <c:v>Demand Charge</c:v>
          </c:tx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EDE-1D4B-B464-CBE402335572}"/>
            </c:ext>
          </c:extLst>
        </c:ser>
        <c:ser>
          <c:idx val="2"/>
          <c:order val="2"/>
          <c:tx>
            <c:v>Natural Gas Charge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EDE-1D4B-B464-CBE40233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2994865"/>
        <c:axId val="1634779946"/>
      </c:barChart>
      <c:dateAx>
        <c:axId val="1952994865"/>
        <c:scaling>
          <c:orientation val="minMax"/>
        </c:scaling>
        <c:delete val="0"/>
        <c:axPos val="b"/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9946"/>
        <c:crosses val="autoZero"/>
        <c:auto val="0"/>
        <c:lblOffset val="100"/>
        <c:baseTimeUnit val="months"/>
        <c:majorUnit val="1"/>
        <c:majorTimeUnit val="months"/>
      </c:dateAx>
      <c:valAx>
        <c:axId val="1634779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Cost [$]</a:t>
                </a:r>
              </a:p>
            </c:rich>
          </c:tx>
          <c:layout>
            <c:manualLayout>
              <c:xMode val="edge"/>
              <c:yMode val="edge"/>
              <c:x val="1.0425012662890829E-3"/>
              <c:y val="0.34472532079323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4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 Electricity Cost ($)</a:t>
            </a:r>
          </a:p>
        </c:rich>
      </c:tx>
      <c:layout>
        <c:manualLayout>
          <c:xMode val="edge"/>
          <c:yMode val="edge"/>
          <c:x val="0.4184239679070233"/>
          <c:y val="6.5253381788814898E-3"/>
        </c:manualLayout>
      </c:layout>
      <c:overlay val="0"/>
    </c:title>
    <c:autoTitleDeleted val="0"/>
    <c:plotArea>
      <c:layout>
        <c:manualLayout>
          <c:xMode val="edge"/>
          <c:yMode val="edge"/>
          <c:x val="7.7671678999991223E-2"/>
          <c:y val="6.0358890701468215E-2"/>
          <c:w val="0.9039161743578038"/>
          <c:h val="0.827079934747145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'Total Energy'!#REF!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'Total Energy'!#REF!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68-A44B-9B04-3ADE13E5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44702"/>
        <c:axId val="774131220"/>
      </c:barChart>
      <c:catAx>
        <c:axId val="212104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9389572122882713"/>
              <c:y val="0.93311579915030973"/>
            </c:manualLayout>
          </c:layout>
          <c:overlay val="0"/>
        </c:title>
        <c:numFmt formatCode="mmm\-yy" sourceLinked="1"/>
        <c:majorTickMark val="out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4131220"/>
        <c:crosses val="autoZero"/>
        <c:auto val="1"/>
        <c:lblAlgn val="ctr"/>
        <c:lblOffset val="100"/>
        <c:noMultiLvlLbl val="1"/>
      </c:catAx>
      <c:valAx>
        <c:axId val="774131220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Cost $</a:t>
                </a:r>
              </a:p>
            </c:rich>
          </c:tx>
          <c:layout>
            <c:manualLayout>
              <c:xMode val="edge"/>
              <c:yMode val="edge"/>
              <c:x val="1.3361423467551505E-2"/>
              <c:y val="0.417820104729135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1044702"/>
        <c:crosses val="autoZero"/>
        <c:crossBetween val="between"/>
        <c:minorUnit val="2000"/>
      </c:valAx>
    </c:plotArea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Demand by Month </a:t>
            </a:r>
          </a:p>
        </c:rich>
      </c:tx>
      <c:layout>
        <c:manualLayout>
          <c:xMode val="edge"/>
          <c:yMode val="edge"/>
          <c:x val="0.3621575563924081"/>
          <c:y val="2.3453484026444291E-2"/>
        </c:manualLayout>
      </c:layout>
      <c:overlay val="0"/>
    </c:title>
    <c:autoTitleDeleted val="0"/>
    <c:plotArea>
      <c:layout>
        <c:manualLayout>
          <c:xMode val="edge"/>
          <c:yMode val="edge"/>
          <c:x val="8.4350721420643704E-2"/>
          <c:y val="0.10118466779214"/>
          <c:w val="0.89678135405105397"/>
          <c:h val="0.8074612850153137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'Raw Data'!$B$10:$B$18</c:f>
              <c:numCache>
                <c:formatCode>mmm\ yy</c:formatCode>
                <c:ptCount val="9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</c:numCache>
            </c:numRef>
          </c:cat>
          <c:val>
            <c:numRef>
              <c:f>'Raw Data'!$E$10:$E$18</c:f>
              <c:numCache>
                <c:formatCode>#,##0_);\(#,##0\)</c:formatCode>
                <c:ptCount val="9"/>
                <c:pt idx="0">
                  <c:v>2556</c:v>
                </c:pt>
                <c:pt idx="1">
                  <c:v>2795.1881200490484</c:v>
                </c:pt>
                <c:pt idx="2">
                  <c:v>2795.9760558395405</c:v>
                </c:pt>
                <c:pt idx="3">
                  <c:v>2811.4235985488122</c:v>
                </c:pt>
                <c:pt idx="4">
                  <c:v>2815.6428364697422</c:v>
                </c:pt>
                <c:pt idx="5">
                  <c:v>2739</c:v>
                </c:pt>
                <c:pt idx="6">
                  <c:v>2793.784770922698</c:v>
                </c:pt>
                <c:pt idx="7">
                  <c:v>2788.1916668673757</c:v>
                </c:pt>
                <c:pt idx="8">
                  <c:v>2799.2014498729936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F8-3344-BBA9-9C98E8AB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02492"/>
        <c:axId val="1930585990"/>
      </c:barChart>
      <c:dateAx>
        <c:axId val="1516302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9833513285755698"/>
              <c:y val="0.94942897276956595"/>
            </c:manualLayout>
          </c:layout>
          <c:overlay val="0"/>
        </c:title>
        <c:numFmt formatCode="mmm\ yy" sourceLinked="1"/>
        <c:majorTickMark val="out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585990"/>
        <c:crosses val="autoZero"/>
        <c:auto val="1"/>
        <c:lblOffset val="100"/>
        <c:baseTimeUnit val="months"/>
      </c:dateAx>
      <c:valAx>
        <c:axId val="193058599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2.8856877840102799E-2"/>
              <c:y val="0.49592174955217411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6302492"/>
        <c:crosses val="autoZero"/>
        <c:crossBetween val="between"/>
      </c:valAx>
    </c:plotArea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Demand Charge ($)
</a:t>
            </a:r>
          </a:p>
        </c:rich>
      </c:tx>
      <c:layout>
        <c:manualLayout>
          <c:xMode val="edge"/>
          <c:yMode val="edge"/>
          <c:x val="0.42397340800627298"/>
          <c:y val="4.8940036341611221E-3"/>
        </c:manualLayout>
      </c:layout>
      <c:overlay val="0"/>
    </c:title>
    <c:autoTitleDeleted val="0"/>
    <c:plotArea>
      <c:layout>
        <c:manualLayout>
          <c:xMode val="edge"/>
          <c:yMode val="edge"/>
          <c:x val="8.5460599334073462E-2"/>
          <c:y val="9.4215326193883189E-2"/>
          <c:w val="0.88013318534960661"/>
          <c:h val="0.78832961755394726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'Raw Data'!$B$10:$B$18</c:f>
              <c:numCache>
                <c:formatCode>mmm\ yy</c:formatCode>
                <c:ptCount val="9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</c:numCache>
            </c:numRef>
          </c:cat>
          <c:val>
            <c:numRef>
              <c:f>'Raw Data'!$F$10:$F$18</c:f>
              <c:numCache>
                <c:formatCode>#,##0_);\(#,##0\)</c:formatCode>
                <c:ptCount val="9"/>
                <c:pt idx="0">
                  <c:v>10877.58</c:v>
                </c:pt>
                <c:pt idx="1">
                  <c:v>11915.23</c:v>
                </c:pt>
                <c:pt idx="2">
                  <c:v>11415.33</c:v>
                </c:pt>
                <c:pt idx="3">
                  <c:v>16318.08</c:v>
                </c:pt>
                <c:pt idx="4">
                  <c:v>16362.32</c:v>
                </c:pt>
                <c:pt idx="5">
                  <c:v>11909.08</c:v>
                </c:pt>
                <c:pt idx="6">
                  <c:v>10557.39</c:v>
                </c:pt>
                <c:pt idx="7">
                  <c:v>9342.08</c:v>
                </c:pt>
                <c:pt idx="8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FB-7E44-820E-2675DA5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902837"/>
        <c:axId val="1402855089"/>
      </c:barChart>
      <c:dateAx>
        <c:axId val="1153902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9500551561489714"/>
              <c:y val="0.9314844646055912"/>
            </c:manualLayout>
          </c:layout>
          <c:overlay val="0"/>
        </c:title>
        <c:numFmt formatCode="mmm\ yy" sourceLinked="1"/>
        <c:majorTickMark val="out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2855089"/>
        <c:crosses val="autoZero"/>
        <c:auto val="1"/>
        <c:lblOffset val="100"/>
        <c:baseTimeUnit val="months"/>
      </c:dateAx>
      <c:valAx>
        <c:axId val="1402855089"/>
        <c:scaling>
          <c:orientation val="minMax"/>
          <c:min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Times New Roman"/>
                  </a:rPr>
                  <a:t>$</a:t>
                </a:r>
              </a:p>
            </c:rich>
          </c:tx>
          <c:layout>
            <c:manualLayout>
              <c:xMode val="edge"/>
              <c:yMode val="edge"/>
              <c:x val="3.1076583654467908E-2"/>
              <c:y val="0.46329523048571386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3902837"/>
        <c:crosses val="autoZero"/>
        <c:crossBetween val="between"/>
      </c:valAx>
    </c:plotArea>
    <c:plotVisOnly val="1"/>
    <c:dispBlanksAs val="zero"/>
    <c:showDLblsOverMax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Gas Usage (MMBtu)</a:t>
            </a:r>
          </a:p>
        </c:rich>
      </c:tx>
      <c:layout>
        <c:manualLayout>
          <c:xMode val="edge"/>
          <c:yMode val="edge"/>
          <c:x val="0.32186459970096032"/>
          <c:y val="1.1419169985093899E-2"/>
        </c:manualLayout>
      </c:layout>
      <c:overlay val="0"/>
    </c:title>
    <c:autoTitleDeleted val="0"/>
    <c:plotArea>
      <c:layout>
        <c:manualLayout>
          <c:xMode val="edge"/>
          <c:yMode val="edge"/>
          <c:x val="0.124306326304107"/>
          <c:y val="6.6884176182708005E-2"/>
          <c:w val="0.82796892341842521"/>
          <c:h val="0.8205546492659048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'N.Gas Value'!$A$5:$A$16</c:f>
              <c:strCache>
                <c:ptCount val="12"/>
                <c:pt idx="0">
                  <c:v>Sep. 10</c:v>
                </c:pt>
                <c:pt idx="1">
                  <c:v>Aug. 10</c:v>
                </c:pt>
                <c:pt idx="2">
                  <c:v>Jul. 10</c:v>
                </c:pt>
                <c:pt idx="3">
                  <c:v>Jun. 10</c:v>
                </c:pt>
                <c:pt idx="4">
                  <c:v>May. 10</c:v>
                </c:pt>
                <c:pt idx="5">
                  <c:v>Apr. 10</c:v>
                </c:pt>
                <c:pt idx="6">
                  <c:v>Mar. 10</c:v>
                </c:pt>
                <c:pt idx="7">
                  <c:v>Feb. 10</c:v>
                </c:pt>
                <c:pt idx="8">
                  <c:v>Jan. 10</c:v>
                </c:pt>
                <c:pt idx="9">
                  <c:v>Dec. 09</c:v>
                </c:pt>
                <c:pt idx="10">
                  <c:v>Nov. 09</c:v>
                </c:pt>
                <c:pt idx="11">
                  <c:v>Oct. 09</c:v>
                </c:pt>
              </c:strCache>
            </c:strRef>
          </c:cat>
          <c:val>
            <c:numRef>
              <c:f>'N.Gas Value'!$C$5:$C$16</c:f>
              <c:numCache>
                <c:formatCode>0.0</c:formatCode>
                <c:ptCount val="12"/>
                <c:pt idx="0">
                  <c:v>559.90000000000009</c:v>
                </c:pt>
                <c:pt idx="1">
                  <c:v>561.29999999999995</c:v>
                </c:pt>
                <c:pt idx="2">
                  <c:v>512.4</c:v>
                </c:pt>
                <c:pt idx="3">
                  <c:v>521.4</c:v>
                </c:pt>
                <c:pt idx="4">
                  <c:v>340.1</c:v>
                </c:pt>
                <c:pt idx="5">
                  <c:v>370.40000000000009</c:v>
                </c:pt>
                <c:pt idx="6">
                  <c:v>346.59999999999997</c:v>
                </c:pt>
                <c:pt idx="7">
                  <c:v>681.19999999999993</c:v>
                </c:pt>
                <c:pt idx="8">
                  <c:v>764.09999999999991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FE-D041-A6A3-A6F9BBBA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443810"/>
        <c:axId val="574546386"/>
      </c:barChart>
      <c:catAx>
        <c:axId val="41744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8945619255787115"/>
              <c:y val="0.924959298254657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546386"/>
        <c:crosses val="autoZero"/>
        <c:auto val="1"/>
        <c:lblAlgn val="ctr"/>
        <c:lblOffset val="100"/>
        <c:noMultiLvlLbl val="1"/>
      </c:catAx>
      <c:valAx>
        <c:axId val="574546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MMBtu</a:t>
                </a:r>
              </a:p>
            </c:rich>
          </c:tx>
          <c:layout>
            <c:manualLayout>
              <c:xMode val="edge"/>
              <c:yMode val="edge"/>
              <c:x val="1.3318586012868804E-2"/>
              <c:y val="0.487765076828572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7443810"/>
        <c:crosses val="autoZero"/>
        <c:crossBetween val="between"/>
      </c:valAx>
    </c:plotArea>
    <c:plotVisOnly val="1"/>
    <c:dispBlanksAs val="zero"/>
    <c:showDLblsOverMax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Gas Cost ($)</a:t>
            </a:r>
          </a:p>
        </c:rich>
      </c:tx>
      <c:layout>
        <c:manualLayout>
          <c:xMode val="edge"/>
          <c:yMode val="edge"/>
          <c:x val="0.37513870966798113"/>
          <c:y val="9.7880072683222529E-3"/>
        </c:manualLayout>
      </c:layout>
      <c:overlay val="0"/>
    </c:title>
    <c:autoTitleDeleted val="0"/>
    <c:plotArea>
      <c:layout>
        <c:manualLayout>
          <c:xMode val="edge"/>
          <c:yMode val="edge"/>
          <c:x val="0.14927834689560207"/>
          <c:y val="6.6884176182708005E-2"/>
          <c:w val="0.80965610067972305"/>
          <c:h val="0.776910275740900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'N.Gas Value'!$A$5:$A$15</c:f>
              <c:strCache>
                <c:ptCount val="11"/>
                <c:pt idx="0">
                  <c:v>Sep. 10</c:v>
                </c:pt>
                <c:pt idx="1">
                  <c:v>Aug. 10</c:v>
                </c:pt>
                <c:pt idx="2">
                  <c:v>Jul. 10</c:v>
                </c:pt>
                <c:pt idx="3">
                  <c:v>Jun. 10</c:v>
                </c:pt>
                <c:pt idx="4">
                  <c:v>May. 10</c:v>
                </c:pt>
                <c:pt idx="5">
                  <c:v>Apr. 10</c:v>
                </c:pt>
                <c:pt idx="6">
                  <c:v>Mar. 10</c:v>
                </c:pt>
                <c:pt idx="7">
                  <c:v>Feb. 10</c:v>
                </c:pt>
                <c:pt idx="8">
                  <c:v>Jan. 10</c:v>
                </c:pt>
                <c:pt idx="9">
                  <c:v>Dec. 09</c:v>
                </c:pt>
                <c:pt idx="10">
                  <c:v>Nov. 09</c:v>
                </c:pt>
              </c:strCache>
            </c:strRef>
          </c:cat>
          <c:val>
            <c:numRef>
              <c:f>'N.Gas Value'!$D$5:$D$15</c:f>
              <c:numCache>
                <c:formatCode>#,##0_);\(#,##0\)</c:formatCode>
                <c:ptCount val="11"/>
                <c:pt idx="0">
                  <c:v>2661.44</c:v>
                </c:pt>
                <c:pt idx="1">
                  <c:v>2678.04</c:v>
                </c:pt>
                <c:pt idx="2">
                  <c:v>2244.2199999999998</c:v>
                </c:pt>
                <c:pt idx="3">
                  <c:v>2453.650000000001</c:v>
                </c:pt>
                <c:pt idx="4">
                  <c:v>1641.76</c:v>
                </c:pt>
                <c:pt idx="5">
                  <c:v>2196.83</c:v>
                </c:pt>
                <c:pt idx="6">
                  <c:v>1675.81</c:v>
                </c:pt>
                <c:pt idx="7">
                  <c:v>3185.64</c:v>
                </c:pt>
                <c:pt idx="8">
                  <c:v>3609.7200000000003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1F-D14F-B45D-A76B088E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448011"/>
        <c:axId val="936173290"/>
      </c:barChart>
      <c:catAx>
        <c:axId val="635448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50943401305605973"/>
              <c:y val="0.93148446460559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6173290"/>
        <c:crosses val="autoZero"/>
        <c:auto val="1"/>
        <c:lblAlgn val="ctr"/>
        <c:lblOffset val="100"/>
        <c:noMultiLvlLbl val="1"/>
      </c:catAx>
      <c:valAx>
        <c:axId val="936173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Times New Roman"/>
                  </a:rPr>
                  <a:t>$</a:t>
                </a:r>
              </a:p>
            </c:rich>
          </c:tx>
          <c:layout>
            <c:manualLayout>
              <c:xMode val="edge"/>
              <c:yMode val="edge"/>
              <c:x val="2.1087731926485807E-2"/>
              <c:y val="0.48123973864969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5448011"/>
        <c:crosses val="autoZero"/>
        <c:crossBetween val="between"/>
      </c:valAx>
    </c:plotArea>
    <c:plotVisOnly val="1"/>
    <c:dispBlanksAs val="zero"/>
    <c:showDLblsOverMax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Electricity Usage vs. Billing Month</a:t>
            </a:r>
          </a:p>
        </c:rich>
      </c:tx>
      <c:layout>
        <c:manualLayout>
          <c:xMode val="edge"/>
          <c:yMode val="edge"/>
          <c:x val="0.1997510207057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99876057159517"/>
          <c:y val="0.17382053805774278"/>
          <c:w val="0.75071431175269754"/>
          <c:h val="0.62510197944006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1-0D41-ABF3-A51B609E888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1-0D41-ABF3-A51B609E888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1-0D41-ABF3-A51B609E888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1-0D41-ABF3-A51B609E888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1-0D41-ABF3-A51B609E888D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1-0D41-ABF3-A51B609E888D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1-0D41-ABF3-A51B609E888D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1-0D41-ABF3-A51B609E888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61-0D41-ABF3-A51B609E888D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61-0D41-ABF3-A51B609E888D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61-0D41-ABF3-A51B609E888D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61-0D41-ABF3-A51B609E888D}"/>
              </c:ext>
            </c:extLst>
          </c:dPt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Data'!$C$7:$C$18</c:f>
              <c:numCache>
                <c:formatCode>#,##0_);\(#,##0\)</c:formatCode>
                <c:ptCount val="12"/>
                <c:pt idx="0">
                  <c:v>1384234</c:v>
                </c:pt>
                <c:pt idx="1">
                  <c:v>1311914</c:v>
                </c:pt>
                <c:pt idx="2">
                  <c:v>1402432</c:v>
                </c:pt>
                <c:pt idx="3">
                  <c:v>2358602</c:v>
                </c:pt>
                <c:pt idx="4">
                  <c:v>1338996</c:v>
                </c:pt>
                <c:pt idx="5">
                  <c:v>1338142</c:v>
                </c:pt>
                <c:pt idx="6">
                  <c:v>1456049</c:v>
                </c:pt>
                <c:pt idx="7">
                  <c:v>1464718</c:v>
                </c:pt>
                <c:pt idx="8">
                  <c:v>1293209</c:v>
                </c:pt>
                <c:pt idx="9">
                  <c:v>1384787.9878681675</c:v>
                </c:pt>
                <c:pt idx="10">
                  <c:v>1458890</c:v>
                </c:pt>
                <c:pt idx="11">
                  <c:v>1430891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8-9461-0D41-ABF3-A51B609E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651871"/>
        <c:axId val="849745581"/>
      </c:barChart>
      <c:dateAx>
        <c:axId val="1377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9745581"/>
        <c:crosses val="autoZero"/>
        <c:auto val="1"/>
        <c:lblOffset val="100"/>
        <c:baseTimeUnit val="months"/>
      </c:dateAx>
      <c:valAx>
        <c:axId val="84974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Electricity Usage [kWh]</a:t>
                </a:r>
              </a:p>
            </c:rich>
          </c:tx>
          <c:layout>
            <c:manualLayout>
              <c:xMode val="edge"/>
              <c:yMode val="edge"/>
              <c:x val="1.5467337416156313E-3"/>
              <c:y val="0.2110504155730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6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Demand vs. Billing Month</a:t>
            </a:r>
          </a:p>
        </c:rich>
      </c:tx>
      <c:layout>
        <c:manualLayout>
          <c:xMode val="edge"/>
          <c:yMode val="edge"/>
          <c:x val="0.22060750218722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09514435695539"/>
          <c:y val="0.17216535433070865"/>
          <c:w val="0.75138980023330415"/>
          <c:h val="0.6261668853893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Data'!$E$7:$E$18</c:f>
              <c:numCache>
                <c:formatCode>#,##0_);\(#,##0\)</c:formatCode>
                <c:ptCount val="12"/>
                <c:pt idx="0">
                  <c:v>2930</c:v>
                </c:pt>
                <c:pt idx="1">
                  <c:v>2720</c:v>
                </c:pt>
                <c:pt idx="2">
                  <c:v>2950</c:v>
                </c:pt>
                <c:pt idx="3">
                  <c:v>2556</c:v>
                </c:pt>
                <c:pt idx="4">
                  <c:v>2795.1881200490484</c:v>
                </c:pt>
                <c:pt idx="5">
                  <c:v>2795.9760558395405</c:v>
                </c:pt>
                <c:pt idx="6">
                  <c:v>2811.4235985488122</c:v>
                </c:pt>
                <c:pt idx="7">
                  <c:v>2815.6428364697422</c:v>
                </c:pt>
                <c:pt idx="8">
                  <c:v>2739</c:v>
                </c:pt>
                <c:pt idx="9">
                  <c:v>2793.784770922698</c:v>
                </c:pt>
                <c:pt idx="10">
                  <c:v>2788.1916668673757</c:v>
                </c:pt>
                <c:pt idx="11">
                  <c:v>2799.2014498729936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1FC-DB45-BB9A-A14E0027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447462"/>
        <c:axId val="37806394"/>
      </c:barChart>
      <c:dateAx>
        <c:axId val="18874474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06394"/>
        <c:crosses val="autoZero"/>
        <c:auto val="1"/>
        <c:lblOffset val="100"/>
        <c:baseTimeUnit val="months"/>
      </c:dateAx>
      <c:valAx>
        <c:axId val="3780639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Peak Demand [kW]</a:t>
                </a:r>
              </a:p>
            </c:rich>
          </c:tx>
          <c:layout>
            <c:manualLayout>
              <c:xMode val="edge"/>
              <c:yMode val="edge"/>
              <c:x val="1.4408355205599299E-3"/>
              <c:y val="0.26513670166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447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Usage vs. Billing Month</a:t>
            </a:r>
          </a:p>
        </c:rich>
      </c:tx>
      <c:layout>
        <c:manualLayout>
          <c:xMode val="edge"/>
          <c:yMode val="edge"/>
          <c:x val="0.23707166812481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29337999416736"/>
          <c:y val="0.1712852690288714"/>
          <c:w val="0.74932469378827637"/>
          <c:h val="0.62237532808398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'Raw Data'!$K$7:$K$18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Data'!$M$7:$M$18</c:f>
              <c:numCache>
                <c:formatCode>#,##0_);\(#,##0\)</c:formatCode>
                <c:ptCount val="12"/>
                <c:pt idx="0">
                  <c:v>37618.330679999999</c:v>
                </c:pt>
                <c:pt idx="1">
                  <c:v>31609.240600000001</c:v>
                </c:pt>
                <c:pt idx="2">
                  <c:v>28998.779599999998</c:v>
                </c:pt>
                <c:pt idx="3">
                  <c:v>34641.415760000004</c:v>
                </c:pt>
                <c:pt idx="4">
                  <c:v>33372.274319999997</c:v>
                </c:pt>
                <c:pt idx="5">
                  <c:v>26147.376079999998</c:v>
                </c:pt>
                <c:pt idx="6">
                  <c:v>26441.900519999999</c:v>
                </c:pt>
                <c:pt idx="7">
                  <c:v>28358.210440000003</c:v>
                </c:pt>
                <c:pt idx="8">
                  <c:v>26135.917920000004</c:v>
                </c:pt>
                <c:pt idx="9">
                  <c:v>36160.875520000001</c:v>
                </c:pt>
                <c:pt idx="10">
                  <c:v>40441.316719999995</c:v>
                </c:pt>
                <c:pt idx="11">
                  <c:v>42400.941800000008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8B-6A42-B996-241F275E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5923266"/>
        <c:axId val="1447404673"/>
      </c:barChart>
      <c:dateAx>
        <c:axId val="17859232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04673"/>
        <c:crosses val="autoZero"/>
        <c:auto val="1"/>
        <c:lblOffset val="100"/>
        <c:baseTimeUnit val="months"/>
      </c:dateAx>
      <c:valAx>
        <c:axId val="1447404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Natural Gas Usage [MMBtu]</a:t>
                </a:r>
              </a:p>
            </c:rich>
          </c:tx>
          <c:layout>
            <c:manualLayout>
              <c:xMode val="edge"/>
              <c:yMode val="edge"/>
              <c:x val="2.2101924759405076E-3"/>
              <c:y val="0.14266431539807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3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86400" cy="3657600"/>
    <xdr:graphicFrame macro="">
      <xdr:nvGraphicFramePr>
        <xdr:cNvPr id="12" name="Chart 14">
          <a:extLst>
            <a:ext uri="{FF2B5EF4-FFF2-40B4-BE49-F238E27FC236}">
              <a16:creationId xmlns:a16="http://schemas.microsoft.com/office/drawing/2014/main" id="{5134D3B4-E058-414F-A90E-432CDC54D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9</xdr:row>
      <xdr:rowOff>0</xdr:rowOff>
    </xdr:from>
    <xdr:ext cx="5486400" cy="3657600"/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836AB1D5-35FA-2744-8F69-12AC1FC26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686800" cy="5486400"/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76B4ED0A-FAEB-3244-80E6-DEE310D52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486400" cy="3657600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4006F8F-EC2C-8547-A5DB-CDFB82D62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</xdr:row>
      <xdr:rowOff>0</xdr:rowOff>
    </xdr:from>
    <xdr:ext cx="5486400" cy="3657600"/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D4FAF784-5CC3-954E-9221-BE64DC7B1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</xdr:row>
      <xdr:rowOff>0</xdr:rowOff>
    </xdr:from>
    <xdr:ext cx="5486400" cy="3657600"/>
    <xdr:graphicFrame macro="">
      <xdr:nvGraphicFramePr>
        <xdr:cNvPr id="4" name="Chart 12">
          <a:extLst>
            <a:ext uri="{FF2B5EF4-FFF2-40B4-BE49-F238E27FC236}">
              <a16:creationId xmlns:a16="http://schemas.microsoft.com/office/drawing/2014/main" id="{AB624DF5-8BE8-7945-AA2A-868DF915D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0</xdr:colOff>
      <xdr:row>26</xdr:row>
      <xdr:rowOff>0</xdr:rowOff>
    </xdr:from>
    <xdr:ext cx="5486400" cy="3657600"/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9D902545-1C9C-AA4E-8910-BCCC0219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26</xdr:row>
      <xdr:rowOff>0</xdr:rowOff>
    </xdr:from>
    <xdr:ext cx="5486400" cy="3657600"/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7B50E6A7-ADBA-4247-A524-273288CF1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0</xdr:colOff>
      <xdr:row>26</xdr:row>
      <xdr:rowOff>0</xdr:rowOff>
    </xdr:from>
    <xdr:ext cx="5486400" cy="3657600"/>
    <xdr:graphicFrame macro="">
      <xdr:nvGraphicFramePr>
        <xdr:cNvPr id="16" name="Chart 13">
          <a:extLst>
            <a:ext uri="{FF2B5EF4-FFF2-40B4-BE49-F238E27FC236}">
              <a16:creationId xmlns:a16="http://schemas.microsoft.com/office/drawing/2014/main" id="{5CDEEF15-964B-C249-8075-225AD55DC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985"/>
  <sheetViews>
    <sheetView workbookViewId="0"/>
  </sheetViews>
  <sheetFormatPr baseColWidth="10" defaultColWidth="12.6640625" defaultRowHeight="15" customHeight="1"/>
  <cols>
    <col min="1" max="1" width="12.83203125" customWidth="1"/>
    <col min="2" max="14" width="15.83203125" customWidth="1"/>
  </cols>
  <sheetData>
    <row r="1" spans="1:14" ht="20" customHeight="1" thickBot="1">
      <c r="A1" s="47"/>
      <c r="B1" s="96"/>
      <c r="C1" s="96"/>
      <c r="D1" s="96"/>
      <c r="E1" s="96"/>
      <c r="F1" s="96"/>
      <c r="G1" s="96"/>
      <c r="H1" s="96"/>
      <c r="I1" s="96"/>
      <c r="J1" s="47"/>
      <c r="K1" s="95"/>
      <c r="L1" s="95"/>
      <c r="M1" s="95"/>
      <c r="N1" s="95"/>
    </row>
    <row r="2" spans="1:14" ht="20" customHeight="1">
      <c r="A2" s="47"/>
      <c r="B2" s="129" t="s">
        <v>56</v>
      </c>
      <c r="C2" s="130"/>
      <c r="D2" s="130"/>
      <c r="E2" s="130"/>
      <c r="F2" s="130"/>
      <c r="G2" s="130"/>
      <c r="H2" s="130"/>
      <c r="I2" s="131"/>
      <c r="J2" s="47"/>
      <c r="K2" s="123" t="s">
        <v>14</v>
      </c>
      <c r="L2" s="124"/>
      <c r="M2" s="124"/>
      <c r="N2" s="125"/>
    </row>
    <row r="3" spans="1:14" ht="20" customHeight="1" thickBot="1">
      <c r="A3" s="47"/>
      <c r="B3" s="132"/>
      <c r="C3" s="133"/>
      <c r="D3" s="133"/>
      <c r="E3" s="133"/>
      <c r="F3" s="133"/>
      <c r="G3" s="133"/>
      <c r="H3" s="133"/>
      <c r="I3" s="134"/>
      <c r="J3" s="48"/>
      <c r="K3" s="126"/>
      <c r="L3" s="127"/>
      <c r="M3" s="127"/>
      <c r="N3" s="128"/>
    </row>
    <row r="4" spans="1:14" ht="20" customHeight="1" thickTop="1">
      <c r="A4" s="47"/>
      <c r="B4" s="49" t="s">
        <v>0</v>
      </c>
      <c r="C4" s="50" t="s">
        <v>0</v>
      </c>
      <c r="D4" s="50" t="s">
        <v>5</v>
      </c>
      <c r="E4" s="50" t="s">
        <v>1</v>
      </c>
      <c r="F4" s="50" t="s">
        <v>2</v>
      </c>
      <c r="G4" s="50" t="s">
        <v>3</v>
      </c>
      <c r="H4" s="50" t="s">
        <v>4</v>
      </c>
      <c r="I4" s="51" t="s">
        <v>4</v>
      </c>
      <c r="J4" s="48"/>
      <c r="K4" s="49" t="s">
        <v>69</v>
      </c>
      <c r="L4" s="101" t="s">
        <v>69</v>
      </c>
      <c r="M4" s="101" t="s">
        <v>69</v>
      </c>
      <c r="N4" s="102" t="s">
        <v>69</v>
      </c>
    </row>
    <row r="5" spans="1:14" ht="20" customHeight="1">
      <c r="A5" s="47"/>
      <c r="B5" s="49" t="s">
        <v>15</v>
      </c>
      <c r="C5" s="50" t="s">
        <v>5</v>
      </c>
      <c r="D5" s="50" t="s">
        <v>6</v>
      </c>
      <c r="E5" s="50" t="s">
        <v>2</v>
      </c>
      <c r="F5" s="50" t="s">
        <v>6</v>
      </c>
      <c r="G5" s="50" t="s">
        <v>7</v>
      </c>
      <c r="H5" s="50" t="s">
        <v>6</v>
      </c>
      <c r="I5" s="51" t="s">
        <v>5</v>
      </c>
      <c r="J5" s="48"/>
      <c r="K5" s="49" t="s">
        <v>15</v>
      </c>
      <c r="L5" s="50" t="s">
        <v>5</v>
      </c>
      <c r="M5" s="50" t="s">
        <v>5</v>
      </c>
      <c r="N5" s="51" t="s">
        <v>17</v>
      </c>
    </row>
    <row r="6" spans="1:14" ht="20" customHeight="1" thickBot="1">
      <c r="A6" s="47"/>
      <c r="B6" s="52" t="s">
        <v>16</v>
      </c>
      <c r="C6" s="53" t="s">
        <v>8</v>
      </c>
      <c r="D6" s="53" t="s">
        <v>9</v>
      </c>
      <c r="E6" s="53" t="s">
        <v>10</v>
      </c>
      <c r="F6" s="53" t="s">
        <v>9</v>
      </c>
      <c r="G6" s="53" t="s">
        <v>9</v>
      </c>
      <c r="H6" s="53" t="s">
        <v>9</v>
      </c>
      <c r="I6" s="54" t="s">
        <v>11</v>
      </c>
      <c r="J6" s="48"/>
      <c r="K6" s="52" t="s">
        <v>16</v>
      </c>
      <c r="L6" s="53" t="s">
        <v>63</v>
      </c>
      <c r="M6" s="53" t="s">
        <v>11</v>
      </c>
      <c r="N6" s="54" t="s">
        <v>9</v>
      </c>
    </row>
    <row r="7" spans="1:14" ht="20" customHeight="1" thickTop="1">
      <c r="A7" s="47"/>
      <c r="B7" s="91">
        <v>44927</v>
      </c>
      <c r="C7" s="55">
        <v>1384234</v>
      </c>
      <c r="D7" s="55">
        <v>112187.25</v>
      </c>
      <c r="E7" s="55">
        <v>2930</v>
      </c>
      <c r="F7" s="55">
        <v>11246.72</v>
      </c>
      <c r="G7" s="55">
        <f>H7-D7-F7</f>
        <v>4000.0000000000018</v>
      </c>
      <c r="H7" s="55">
        <v>127433.97</v>
      </c>
      <c r="I7" s="56">
        <f>C7*0.003412/0.33</f>
        <v>14312.140630303031</v>
      </c>
      <c r="J7" s="48"/>
      <c r="K7" s="91">
        <f t="shared" ref="K7:K18" si="0">B7</f>
        <v>44927</v>
      </c>
      <c r="L7" s="57">
        <v>36311.129999999997</v>
      </c>
      <c r="M7" s="57">
        <f t="shared" ref="M7:M18" si="1">L7*VLOOKUP($L$6,$K$21:$N$24,4,FALSE)</f>
        <v>37618.330679999999</v>
      </c>
      <c r="N7" s="58">
        <v>104545.84</v>
      </c>
    </row>
    <row r="8" spans="1:14" ht="20" customHeight="1">
      <c r="A8" s="47"/>
      <c r="B8" s="93">
        <f>EDATE(B7,1)</f>
        <v>44958</v>
      </c>
      <c r="C8" s="59">
        <v>1311914</v>
      </c>
      <c r="D8" s="59">
        <v>105810.33</v>
      </c>
      <c r="E8" s="59">
        <v>2720</v>
      </c>
      <c r="F8" s="59">
        <v>9182.59</v>
      </c>
      <c r="G8" s="59">
        <f>H8-D8-F8</f>
        <v>3999.9999999999964</v>
      </c>
      <c r="H8" s="59">
        <v>118992.92</v>
      </c>
      <c r="I8" s="60">
        <f>C8*0.003412/0.33</f>
        <v>13564.395660606062</v>
      </c>
      <c r="J8" s="48"/>
      <c r="K8" s="93">
        <f t="shared" si="0"/>
        <v>44958</v>
      </c>
      <c r="L8" s="61">
        <v>30510.85</v>
      </c>
      <c r="M8" s="61">
        <f t="shared" si="1"/>
        <v>31609.240600000001</v>
      </c>
      <c r="N8" s="62">
        <v>96610.76</v>
      </c>
    </row>
    <row r="9" spans="1:14" ht="20" customHeight="1">
      <c r="A9" s="47"/>
      <c r="B9" s="93">
        <f t="shared" ref="B9:B17" si="2">EDATE(B8,1)</f>
        <v>44986</v>
      </c>
      <c r="C9" s="59">
        <v>1402432</v>
      </c>
      <c r="D9" s="59">
        <v>113295.70999999999</v>
      </c>
      <c r="E9" s="59">
        <v>2950</v>
      </c>
      <c r="F9" s="59">
        <v>10833.23</v>
      </c>
      <c r="G9" s="59">
        <f t="shared" ref="G9:G17" si="3">H9-D9-F9</f>
        <v>4000.0000000000109</v>
      </c>
      <c r="H9" s="59">
        <v>128128.94</v>
      </c>
      <c r="I9" s="60">
        <f t="shared" ref="I9:I17" si="4">C9*0.003412/0.33</f>
        <v>14500.296921212121</v>
      </c>
      <c r="J9" s="48"/>
      <c r="K9" s="93">
        <f t="shared" si="0"/>
        <v>44986</v>
      </c>
      <c r="L9" s="61">
        <v>27991.1</v>
      </c>
      <c r="M9" s="61">
        <f t="shared" si="1"/>
        <v>28998.779599999998</v>
      </c>
      <c r="N9" s="62">
        <v>89239.59</v>
      </c>
    </row>
    <row r="10" spans="1:14" ht="20" customHeight="1">
      <c r="A10" s="47"/>
      <c r="B10" s="93">
        <f t="shared" si="2"/>
        <v>45017</v>
      </c>
      <c r="C10" s="59">
        <v>2358602</v>
      </c>
      <c r="D10" s="59">
        <v>190071.66</v>
      </c>
      <c r="E10" s="59">
        <v>2556</v>
      </c>
      <c r="F10" s="59">
        <v>10877.58</v>
      </c>
      <c r="G10" s="59">
        <f t="shared" si="3"/>
        <v>3999.9999999999873</v>
      </c>
      <c r="H10" s="59">
        <v>204949.24</v>
      </c>
      <c r="I10" s="60">
        <f t="shared" si="4"/>
        <v>24386.515224242423</v>
      </c>
      <c r="J10" s="48"/>
      <c r="K10" s="93">
        <f t="shared" si="0"/>
        <v>45017</v>
      </c>
      <c r="L10" s="61">
        <v>33437.660000000003</v>
      </c>
      <c r="M10" s="61">
        <f t="shared" si="1"/>
        <v>34641.415760000004</v>
      </c>
      <c r="N10" s="62">
        <v>99192.69</v>
      </c>
    </row>
    <row r="11" spans="1:14" ht="20" customHeight="1">
      <c r="A11" s="47"/>
      <c r="B11" s="93">
        <f t="shared" si="2"/>
        <v>45047</v>
      </c>
      <c r="C11" s="59">
        <v>1338996</v>
      </c>
      <c r="D11" s="59">
        <v>107034.78</v>
      </c>
      <c r="E11" s="59">
        <v>2795.1881200490484</v>
      </c>
      <c r="F11" s="59">
        <v>11915.23</v>
      </c>
      <c r="G11" s="59">
        <f t="shared" si="3"/>
        <v>3999.9900000000016</v>
      </c>
      <c r="H11" s="59">
        <v>122950</v>
      </c>
      <c r="I11" s="60">
        <f t="shared" si="4"/>
        <v>13844.407127272729</v>
      </c>
      <c r="J11" s="48"/>
      <c r="K11" s="93">
        <f t="shared" si="0"/>
        <v>45047</v>
      </c>
      <c r="L11" s="61">
        <v>32212.62</v>
      </c>
      <c r="M11" s="61">
        <f t="shared" si="1"/>
        <v>33372.274319999997</v>
      </c>
      <c r="N11" s="62">
        <v>95129.01</v>
      </c>
    </row>
    <row r="12" spans="1:14" ht="20" customHeight="1">
      <c r="A12" s="47"/>
      <c r="B12" s="93">
        <f t="shared" si="2"/>
        <v>45078</v>
      </c>
      <c r="C12" s="59">
        <v>1338142</v>
      </c>
      <c r="D12" s="59">
        <v>109757.79000000001</v>
      </c>
      <c r="E12" s="59">
        <v>2795.9760558395405</v>
      </c>
      <c r="F12" s="59">
        <v>11415.33</v>
      </c>
      <c r="G12" s="59">
        <f t="shared" si="3"/>
        <v>3999.9999999999873</v>
      </c>
      <c r="H12" s="59">
        <v>125173.12</v>
      </c>
      <c r="I12" s="60">
        <f t="shared" si="4"/>
        <v>13835.577284848485</v>
      </c>
      <c r="J12" s="48"/>
      <c r="K12" s="93">
        <f t="shared" si="0"/>
        <v>45078</v>
      </c>
      <c r="L12" s="61">
        <v>25238.78</v>
      </c>
      <c r="M12" s="61">
        <f t="shared" si="1"/>
        <v>26147.376079999998</v>
      </c>
      <c r="N12" s="62">
        <v>77783.38</v>
      </c>
    </row>
    <row r="13" spans="1:14" ht="20" customHeight="1">
      <c r="A13" s="47"/>
      <c r="B13" s="93">
        <f t="shared" si="2"/>
        <v>45108</v>
      </c>
      <c r="C13" s="59">
        <v>1456049</v>
      </c>
      <c r="D13" s="59">
        <v>116930.2</v>
      </c>
      <c r="E13" s="59">
        <v>2811.4235985488122</v>
      </c>
      <c r="F13" s="59">
        <v>16318.08</v>
      </c>
      <c r="G13" s="59">
        <f t="shared" si="3"/>
        <v>4000.0000000000018</v>
      </c>
      <c r="H13" s="59">
        <v>137248.28</v>
      </c>
      <c r="I13" s="60">
        <f t="shared" si="4"/>
        <v>15054.664206060605</v>
      </c>
      <c r="J13" s="48"/>
      <c r="K13" s="93">
        <f t="shared" si="0"/>
        <v>45108</v>
      </c>
      <c r="L13" s="61">
        <v>25523.07</v>
      </c>
      <c r="M13" s="61">
        <f t="shared" si="1"/>
        <v>26441.900519999999</v>
      </c>
      <c r="N13" s="62">
        <v>79413.899999999994</v>
      </c>
    </row>
    <row r="14" spans="1:14" ht="20" customHeight="1">
      <c r="A14" s="47"/>
      <c r="B14" s="93">
        <f t="shared" si="2"/>
        <v>45139</v>
      </c>
      <c r="C14" s="59">
        <v>1464718</v>
      </c>
      <c r="D14" s="59">
        <v>116021.33</v>
      </c>
      <c r="E14" s="59">
        <v>2815.6428364697422</v>
      </c>
      <c r="F14" s="59">
        <v>16362.32</v>
      </c>
      <c r="G14" s="59">
        <f t="shared" si="3"/>
        <v>3999.9999999999927</v>
      </c>
      <c r="H14" s="59">
        <v>136383.65</v>
      </c>
      <c r="I14" s="60">
        <f t="shared" si="4"/>
        <v>15144.296412121212</v>
      </c>
      <c r="J14" s="48"/>
      <c r="K14" s="93">
        <f t="shared" si="0"/>
        <v>45139</v>
      </c>
      <c r="L14" s="61">
        <v>27372.79</v>
      </c>
      <c r="M14" s="61">
        <f t="shared" si="1"/>
        <v>28358.210440000003</v>
      </c>
      <c r="N14" s="62">
        <v>86054.1</v>
      </c>
    </row>
    <row r="15" spans="1:14" ht="20" customHeight="1">
      <c r="A15" s="47"/>
      <c r="B15" s="93">
        <f t="shared" si="2"/>
        <v>45170</v>
      </c>
      <c r="C15" s="59">
        <v>1293209</v>
      </c>
      <c r="D15" s="59">
        <v>105996.93</v>
      </c>
      <c r="E15" s="59">
        <v>2739</v>
      </c>
      <c r="F15" s="59">
        <v>11909.08</v>
      </c>
      <c r="G15" s="59">
        <f t="shared" si="3"/>
        <v>4000.0000000000164</v>
      </c>
      <c r="H15" s="59">
        <v>121906.01000000001</v>
      </c>
      <c r="I15" s="60">
        <f t="shared" si="4"/>
        <v>13370.997296969697</v>
      </c>
      <c r="J15" s="48"/>
      <c r="K15" s="93">
        <f t="shared" si="0"/>
        <v>45170</v>
      </c>
      <c r="L15" s="61">
        <v>25227.72</v>
      </c>
      <c r="M15" s="61">
        <f t="shared" si="1"/>
        <v>26135.917920000004</v>
      </c>
      <c r="N15" s="62">
        <v>79062.47</v>
      </c>
    </row>
    <row r="16" spans="1:14" ht="20" customHeight="1">
      <c r="A16" s="47"/>
      <c r="B16" s="93">
        <f t="shared" si="2"/>
        <v>45200</v>
      </c>
      <c r="C16" s="59">
        <v>1384787.9878681675</v>
      </c>
      <c r="D16" s="59">
        <v>112845.42</v>
      </c>
      <c r="E16" s="59">
        <v>2793.784770922698</v>
      </c>
      <c r="F16" s="59">
        <v>10557.39</v>
      </c>
      <c r="G16" s="59">
        <f t="shared" si="3"/>
        <v>4000</v>
      </c>
      <c r="H16" s="59">
        <v>127402.81</v>
      </c>
      <c r="I16" s="60">
        <f t="shared" si="4"/>
        <v>14317.868529109659</v>
      </c>
      <c r="J16" s="48"/>
      <c r="K16" s="93">
        <f t="shared" si="0"/>
        <v>45200</v>
      </c>
      <c r="L16" s="61">
        <v>34904.32</v>
      </c>
      <c r="M16" s="61">
        <f t="shared" si="1"/>
        <v>36160.875520000001</v>
      </c>
      <c r="N16" s="62">
        <v>105077.37</v>
      </c>
    </row>
    <row r="17" spans="1:14" ht="20" customHeight="1">
      <c r="A17" s="47"/>
      <c r="B17" s="93">
        <f t="shared" si="2"/>
        <v>45231</v>
      </c>
      <c r="C17" s="59">
        <v>1458890</v>
      </c>
      <c r="D17" s="59">
        <v>112862.44</v>
      </c>
      <c r="E17" s="59">
        <v>2788.1916668673757</v>
      </c>
      <c r="F17" s="59">
        <v>9342.08</v>
      </c>
      <c r="G17" s="59">
        <f t="shared" si="3"/>
        <v>3999.9999999999873</v>
      </c>
      <c r="H17" s="59">
        <v>126204.51999999999</v>
      </c>
      <c r="I17" s="60">
        <f t="shared" si="4"/>
        <v>15084.038424242424</v>
      </c>
      <c r="J17" s="48"/>
      <c r="K17" s="93">
        <f t="shared" si="0"/>
        <v>45231</v>
      </c>
      <c r="L17" s="61">
        <v>39036.019999999997</v>
      </c>
      <c r="M17" s="61">
        <f t="shared" si="1"/>
        <v>40441.316719999995</v>
      </c>
      <c r="N17" s="62">
        <v>118518.95</v>
      </c>
    </row>
    <row r="18" spans="1:14" ht="20" customHeight="1" thickBot="1">
      <c r="A18" s="47"/>
      <c r="B18" s="92">
        <f>EDATE(B7,11)</f>
        <v>45261</v>
      </c>
      <c r="C18" s="63">
        <v>1430891</v>
      </c>
      <c r="D18" s="63">
        <v>116321.57</v>
      </c>
      <c r="E18" s="63">
        <v>2799.2014498729936</v>
      </c>
      <c r="F18" s="63">
        <v>11454.62</v>
      </c>
      <c r="G18" s="63">
        <f>H18-D18-F18</f>
        <v>3999.9999999999945</v>
      </c>
      <c r="H18" s="63">
        <v>131776.19</v>
      </c>
      <c r="I18" s="64">
        <f>C18*0.003412/0.33</f>
        <v>14794.545733333332</v>
      </c>
      <c r="J18" s="48"/>
      <c r="K18" s="92">
        <f t="shared" si="0"/>
        <v>45261</v>
      </c>
      <c r="L18" s="65">
        <v>40927.550000000003</v>
      </c>
      <c r="M18" s="65">
        <f t="shared" si="1"/>
        <v>42400.941800000008</v>
      </c>
      <c r="N18" s="66">
        <v>128236.23</v>
      </c>
    </row>
    <row r="19" spans="1:14" ht="20" customHeight="1" thickTop="1" thickBot="1">
      <c r="A19" s="47"/>
      <c r="B19" s="67" t="s">
        <v>4</v>
      </c>
      <c r="C19" s="68">
        <f t="shared" ref="C19:I19" si="5">SUM(C7:C18)</f>
        <v>17622864.987868167</v>
      </c>
      <c r="D19" s="68">
        <f t="shared" si="5"/>
        <v>1419135.41</v>
      </c>
      <c r="E19" s="68">
        <f t="shared" si="5"/>
        <v>33494.408498570214</v>
      </c>
      <c r="F19" s="69">
        <f t="shared" si="5"/>
        <v>141414.25</v>
      </c>
      <c r="G19" s="69">
        <f t="shared" si="5"/>
        <v>47999.989999999969</v>
      </c>
      <c r="H19" s="68">
        <f t="shared" si="5"/>
        <v>1608549.6500000001</v>
      </c>
      <c r="I19" s="70">
        <f t="shared" si="5"/>
        <v>182209.74345032181</v>
      </c>
      <c r="J19" s="48"/>
      <c r="K19" s="71" t="s">
        <v>18</v>
      </c>
      <c r="L19" s="72">
        <f t="shared" ref="L19:N19" si="6">SUM(L7:L18)</f>
        <v>378693.61</v>
      </c>
      <c r="M19" s="72">
        <f t="shared" si="6"/>
        <v>392326.57996</v>
      </c>
      <c r="N19" s="73">
        <f t="shared" si="6"/>
        <v>1158864.29</v>
      </c>
    </row>
    <row r="20" spans="1:14" ht="20" customHeight="1">
      <c r="A20" s="47"/>
      <c r="B20" s="48"/>
      <c r="C20" s="48"/>
      <c r="D20" s="48"/>
      <c r="E20" s="74"/>
      <c r="F20" s="48"/>
      <c r="G20" s="48"/>
      <c r="H20" s="48"/>
      <c r="I20" s="48"/>
      <c r="J20" s="48"/>
      <c r="K20" s="75"/>
      <c r="L20" s="76"/>
      <c r="M20" s="77"/>
      <c r="N20" s="78"/>
    </row>
    <row r="21" spans="1:14" ht="20" customHeight="1">
      <c r="A21" s="47"/>
      <c r="B21" s="121" t="s">
        <v>58</v>
      </c>
      <c r="C21" s="120"/>
      <c r="D21" s="79">
        <f>D19/C19</f>
        <v>8.0528075938671326E-2</v>
      </c>
      <c r="E21" s="80" t="s">
        <v>12</v>
      </c>
      <c r="F21" s="47"/>
      <c r="G21" s="47"/>
      <c r="H21" s="47"/>
      <c r="I21" s="47"/>
      <c r="J21" s="48"/>
      <c r="K21" s="81" t="s">
        <v>61</v>
      </c>
      <c r="L21" s="81" t="s">
        <v>65</v>
      </c>
      <c r="M21" s="81" t="s">
        <v>57</v>
      </c>
      <c r="N21" s="82">
        <v>1</v>
      </c>
    </row>
    <row r="22" spans="1:14" ht="20" customHeight="1">
      <c r="A22" s="47"/>
      <c r="B22" s="121" t="s">
        <v>58</v>
      </c>
      <c r="C22" s="122"/>
      <c r="D22" s="83">
        <f>D19/I19</f>
        <v>7.7884715884412463</v>
      </c>
      <c r="E22" s="84" t="s">
        <v>66</v>
      </c>
      <c r="F22" s="47"/>
      <c r="G22" s="104"/>
      <c r="H22" s="104"/>
      <c r="I22" s="105"/>
      <c r="J22" s="48"/>
      <c r="K22" s="81" t="s">
        <v>62</v>
      </c>
      <c r="L22" s="81" t="s">
        <v>65</v>
      </c>
      <c r="M22" s="81" t="s">
        <v>57</v>
      </c>
      <c r="N22" s="85">
        <v>0.1</v>
      </c>
    </row>
    <row r="23" spans="1:14" ht="20" customHeight="1">
      <c r="A23" s="47"/>
      <c r="B23" s="121" t="s">
        <v>59</v>
      </c>
      <c r="C23" s="120"/>
      <c r="D23" s="86">
        <f>F19/E19</f>
        <v>4.2220255958852535</v>
      </c>
      <c r="E23" s="80" t="s">
        <v>13</v>
      </c>
      <c r="F23" s="47"/>
      <c r="G23" s="104"/>
      <c r="H23" s="104"/>
      <c r="I23" s="105"/>
      <c r="J23" s="48"/>
      <c r="K23" s="81" t="s">
        <v>63</v>
      </c>
      <c r="L23" s="81" t="s">
        <v>65</v>
      </c>
      <c r="M23" s="81" t="s">
        <v>57</v>
      </c>
      <c r="N23" s="87">
        <v>1.036</v>
      </c>
    </row>
    <row r="24" spans="1:14" ht="20" customHeight="1">
      <c r="A24" s="47"/>
      <c r="B24" s="119" t="s">
        <v>60</v>
      </c>
      <c r="C24" s="120"/>
      <c r="D24" s="83">
        <f>N19/M19</f>
        <v>2.9538255861179556</v>
      </c>
      <c r="E24" s="88" t="s">
        <v>20</v>
      </c>
      <c r="F24" s="48"/>
      <c r="G24" s="104"/>
      <c r="H24" s="104"/>
      <c r="I24" s="105"/>
      <c r="J24" s="48"/>
      <c r="K24" s="81" t="s">
        <v>64</v>
      </c>
      <c r="L24" s="81" t="s">
        <v>65</v>
      </c>
      <c r="M24" s="81" t="s">
        <v>57</v>
      </c>
      <c r="N24" s="89">
        <v>0.1036</v>
      </c>
    </row>
    <row r="25" spans="1:14" ht="12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2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2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2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2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2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2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2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2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2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2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2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2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2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2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2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2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2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2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2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2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2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2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2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2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2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2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2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2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2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2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2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2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2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2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2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2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2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2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2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2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2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2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2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2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2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2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2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2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2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2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2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2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2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2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2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2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2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2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2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2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2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2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2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2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2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2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2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2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2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2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2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2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2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2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2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2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2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2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2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2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2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2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2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2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2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2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2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2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2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2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2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2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2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2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2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2.75" customHeight="1"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</row>
    <row r="130" spans="2:14" ht="12.75" customHeight="1"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</row>
    <row r="131" spans="2:14" ht="12.75" customHeight="1"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</row>
    <row r="132" spans="2:14" ht="12.75" customHeight="1"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</row>
    <row r="133" spans="2:14" ht="12.75" customHeight="1"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</row>
    <row r="134" spans="2:14" ht="12.75" customHeight="1"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</row>
    <row r="135" spans="2:14" ht="12.75" customHeight="1"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</row>
    <row r="136" spans="2:14" ht="12.75" customHeight="1"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</row>
    <row r="137" spans="2:14" ht="12.75" customHeight="1"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</row>
    <row r="138" spans="2:14" ht="12.75" customHeight="1"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</row>
    <row r="139" spans="2:14" ht="12.75" customHeight="1"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</row>
    <row r="140" spans="2:14" ht="12.75" customHeight="1"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</row>
    <row r="141" spans="2:14" ht="12.75" customHeight="1"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</row>
    <row r="142" spans="2:14" ht="12.75" customHeight="1"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</row>
    <row r="143" spans="2:14" ht="12.75" customHeight="1"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</row>
    <row r="144" spans="2:14" ht="12.75" customHeight="1"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</row>
    <row r="145" spans="2:14" ht="12.75" customHeight="1"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</row>
    <row r="146" spans="2:14" ht="12.75" customHeight="1"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</row>
    <row r="147" spans="2:14" ht="12.75" customHeight="1"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</row>
    <row r="148" spans="2:14" ht="12.75" customHeight="1"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</row>
    <row r="149" spans="2:14" ht="12.75" customHeight="1"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</row>
    <row r="150" spans="2:14" ht="12.75" customHeight="1"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</row>
    <row r="151" spans="2:14" ht="12.75" customHeight="1"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</row>
    <row r="152" spans="2:14" ht="12.75" customHeight="1"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</row>
    <row r="153" spans="2:14" ht="12.75" customHeight="1"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</row>
    <row r="154" spans="2:14" ht="12.75" customHeight="1"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</row>
    <row r="155" spans="2:14" ht="12.75" customHeight="1"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</row>
    <row r="156" spans="2:14" ht="12.75" customHeight="1"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</row>
    <row r="157" spans="2:14" ht="12.75" customHeight="1"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</row>
    <row r="158" spans="2:14" ht="12.75" customHeight="1"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</row>
    <row r="159" spans="2:14" ht="12.75" customHeight="1"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</row>
    <row r="160" spans="2:14" ht="12.75" customHeight="1"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</row>
    <row r="161" spans="2:14" ht="12.75" customHeight="1"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</row>
    <row r="162" spans="2:14" ht="12.75" customHeight="1"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</row>
    <row r="163" spans="2:14" ht="12.75" customHeight="1"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</row>
    <row r="164" spans="2:14" ht="12.75" customHeight="1"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</row>
    <row r="165" spans="2:14" ht="12.75" customHeight="1"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</row>
    <row r="166" spans="2:14" ht="12.75" customHeight="1"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</row>
    <row r="167" spans="2:14" ht="12.75" customHeight="1"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</row>
    <row r="168" spans="2:14" ht="12.75" customHeight="1"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</row>
    <row r="169" spans="2:14" ht="12.75" customHeight="1"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</row>
    <row r="170" spans="2:14" ht="12.75" customHeight="1"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</row>
    <row r="171" spans="2:14" ht="12.75" customHeight="1"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</row>
    <row r="172" spans="2:14" ht="12.75" customHeight="1"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</row>
    <row r="173" spans="2:14" ht="12.75" customHeight="1"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</row>
    <row r="174" spans="2:14" ht="12.75" customHeight="1"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</row>
    <row r="175" spans="2:14" ht="12.75" customHeight="1"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</row>
    <row r="176" spans="2:14" ht="12.75" customHeight="1"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</row>
    <row r="177" spans="2:14" ht="12.75" customHeight="1"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</row>
    <row r="178" spans="2:14" ht="12.75" customHeight="1"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</row>
    <row r="179" spans="2:14" ht="12.75" customHeight="1"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</row>
    <row r="180" spans="2:14" ht="12.75" customHeight="1"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</row>
    <row r="181" spans="2:14" ht="12.75" customHeight="1"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</row>
    <row r="182" spans="2:14" ht="12.75" customHeight="1"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</row>
    <row r="183" spans="2:14" ht="12.75" customHeight="1"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</row>
    <row r="184" spans="2:14" ht="12.75" customHeight="1"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</row>
    <row r="185" spans="2:14" ht="12.75" customHeight="1"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</row>
    <row r="186" spans="2:14" ht="12.75" customHeight="1"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</row>
    <row r="187" spans="2:14" ht="12.75" customHeight="1"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</row>
    <row r="188" spans="2:14" ht="12.75" customHeight="1"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</row>
    <row r="189" spans="2:14" ht="12.75" customHeight="1"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</row>
    <row r="190" spans="2:14" ht="12.75" customHeight="1"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</row>
    <row r="191" spans="2:14" ht="12.75" customHeight="1"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</row>
    <row r="192" spans="2:14" ht="12.75" customHeight="1"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</row>
    <row r="193" spans="2:14" ht="12.75" customHeight="1"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</row>
    <row r="194" spans="2:14" ht="12.75" customHeight="1"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</row>
    <row r="195" spans="2:14" ht="12.75" customHeight="1"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</row>
    <row r="196" spans="2:14" ht="12.75" customHeight="1"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</row>
    <row r="197" spans="2:14" ht="12.75" customHeight="1"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</row>
    <row r="198" spans="2:14" ht="12.75" customHeight="1"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</row>
    <row r="199" spans="2:14" ht="12.75" customHeight="1"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</row>
    <row r="200" spans="2:14" ht="12.75" customHeight="1"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</row>
    <row r="201" spans="2:14" ht="12.75" customHeight="1"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</row>
    <row r="202" spans="2:14" ht="12.75" customHeight="1"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</row>
    <row r="203" spans="2:14" ht="12.75" customHeight="1"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</row>
    <row r="204" spans="2:14" ht="12.75" customHeight="1"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</row>
    <row r="205" spans="2:14" ht="12.75" customHeight="1"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</row>
    <row r="206" spans="2:14" ht="12.75" customHeight="1"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</row>
    <row r="207" spans="2:14" ht="12.75" customHeight="1"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</row>
    <row r="208" spans="2:14" ht="12.75" customHeight="1"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</row>
    <row r="209" spans="2:14" ht="12.75" customHeight="1"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</row>
    <row r="210" spans="2:14" ht="12.75" customHeight="1"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</row>
    <row r="211" spans="2:14" ht="12.75" customHeight="1"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</row>
    <row r="212" spans="2:14" ht="12.75" customHeight="1"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</row>
    <row r="213" spans="2:14" ht="12.75" customHeight="1"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</row>
    <row r="214" spans="2:14" ht="12.75" customHeight="1"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</row>
    <row r="215" spans="2:14" ht="12.75" customHeight="1"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</row>
    <row r="216" spans="2:14" ht="15.75" customHeight="1"/>
    <row r="217" spans="2:14" ht="15.75" customHeight="1"/>
    <row r="218" spans="2:14" ht="15.75" customHeight="1"/>
    <row r="219" spans="2:14" ht="15.75" customHeight="1"/>
    <row r="220" spans="2:14" ht="15.75" customHeight="1"/>
    <row r="221" spans="2:14" ht="15.75" customHeight="1"/>
    <row r="222" spans="2:14" ht="15.75" customHeight="1"/>
    <row r="223" spans="2:14" ht="15.75" customHeight="1"/>
    <row r="224" spans="2:1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6">
    <mergeCell ref="B24:C24"/>
    <mergeCell ref="B22:C22"/>
    <mergeCell ref="K2:N3"/>
    <mergeCell ref="B2:I3"/>
    <mergeCell ref="B23:C23"/>
    <mergeCell ref="B21:C21"/>
  </mergeCells>
  <dataValidations count="1">
    <dataValidation type="list" allowBlank="1" showInputMessage="1" showErrorMessage="1" sqref="L6" xr:uid="{920FF90C-24A3-0248-AF94-6BA43000F95D}">
      <formula1>K21:K24</formula1>
    </dataValidation>
  </dataValidations>
  <printOptions horizontalCentered="1"/>
  <pageMargins left="0.75" right="0.75" top="1" bottom="1" header="0" footer="0"/>
  <pageSetup orientation="landscape"/>
  <headerFooter>
    <oddFooter>&amp;L000000Lehigh University IAC&amp;C000000LE0497&amp;R000000Page: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/>
  </sheetViews>
  <sheetFormatPr baseColWidth="10" defaultColWidth="12.6640625" defaultRowHeight="15" customHeight="1"/>
  <cols>
    <col min="1" max="1" width="15.83203125" customWidth="1"/>
    <col min="2" max="2" width="15.1640625" customWidth="1"/>
    <col min="3" max="3" width="15" customWidth="1"/>
    <col min="4" max="4" width="14.83203125" customWidth="1"/>
    <col min="5" max="5" width="8.83203125" customWidth="1"/>
    <col min="6" max="6" width="25" customWidth="1"/>
    <col min="7" max="7" width="11" customWidth="1"/>
    <col min="8" max="8" width="14.1640625" customWidth="1"/>
    <col min="9" max="9" width="12.1640625" customWidth="1"/>
    <col min="10" max="10" width="13" customWidth="1"/>
    <col min="11" max="13" width="8.83203125" customWidth="1"/>
    <col min="14" max="14" width="15" customWidth="1"/>
    <col min="15" max="15" width="12.6640625" customWidth="1"/>
    <col min="16" max="16" width="12.1640625" customWidth="1"/>
    <col min="17" max="24" width="8.83203125" customWidth="1"/>
    <col min="25" max="26" width="12.6640625" customWidth="1"/>
  </cols>
  <sheetData>
    <row r="1" spans="1:24" ht="12.75" customHeight="1">
      <c r="A1" s="135" t="s">
        <v>22</v>
      </c>
      <c r="B1" s="136"/>
      <c r="C1" s="136"/>
      <c r="D1" s="136"/>
    </row>
    <row r="2" spans="1:24" ht="36.75" customHeight="1">
      <c r="A2" s="136"/>
      <c r="B2" s="136"/>
      <c r="C2" s="136"/>
      <c r="D2" s="136"/>
      <c r="X2" s="3"/>
    </row>
    <row r="3" spans="1:24" ht="12.75" customHeight="1">
      <c r="A3" s="4"/>
      <c r="B3" s="5" t="s">
        <v>5</v>
      </c>
      <c r="C3" s="5" t="s">
        <v>5</v>
      </c>
      <c r="D3" s="6" t="s">
        <v>23</v>
      </c>
    </row>
    <row r="4" spans="1:24" ht="12.75" customHeight="1">
      <c r="A4" s="7"/>
      <c r="B4" s="8" t="s">
        <v>24</v>
      </c>
      <c r="C4" s="8" t="s">
        <v>25</v>
      </c>
      <c r="D4" s="9" t="s">
        <v>26</v>
      </c>
    </row>
    <row r="5" spans="1:24" ht="12.75" customHeight="1">
      <c r="A5" s="10" t="s">
        <v>27</v>
      </c>
      <c r="B5" s="11">
        <v>5599.0000000000009</v>
      </c>
      <c r="C5" s="12">
        <f t="shared" ref="C5:C15" si="0">B5/10</f>
        <v>559.90000000000009</v>
      </c>
      <c r="D5" s="13">
        <v>2661.44</v>
      </c>
      <c r="F5" s="14"/>
      <c r="G5" s="15"/>
      <c r="H5" s="15"/>
      <c r="I5" s="15"/>
    </row>
    <row r="6" spans="1:24" ht="12.75" customHeight="1">
      <c r="A6" s="16" t="s">
        <v>28</v>
      </c>
      <c r="B6" s="17">
        <v>5613</v>
      </c>
      <c r="C6" s="12">
        <f t="shared" si="0"/>
        <v>561.29999999999995</v>
      </c>
      <c r="D6" s="18">
        <v>2678.04</v>
      </c>
      <c r="F6" s="19"/>
      <c r="G6" s="15"/>
      <c r="H6" s="15"/>
      <c r="I6" s="15"/>
    </row>
    <row r="7" spans="1:24" ht="12.75" customHeight="1">
      <c r="A7" s="16" t="s">
        <v>29</v>
      </c>
      <c r="B7" s="17">
        <v>5124</v>
      </c>
      <c r="C7" s="12">
        <f t="shared" si="0"/>
        <v>512.4</v>
      </c>
      <c r="D7" s="18">
        <v>2244.2199999999998</v>
      </c>
      <c r="F7" s="15"/>
      <c r="G7" s="15"/>
      <c r="H7" s="15"/>
      <c r="I7" s="15"/>
    </row>
    <row r="8" spans="1:24" ht="12.75" customHeight="1">
      <c r="A8" s="16" t="s">
        <v>30</v>
      </c>
      <c r="B8" s="17">
        <v>5214</v>
      </c>
      <c r="C8" s="12">
        <f t="shared" si="0"/>
        <v>521.4</v>
      </c>
      <c r="D8" s="18">
        <v>2453.650000000001</v>
      </c>
      <c r="F8" s="14"/>
      <c r="G8" s="15"/>
      <c r="H8" s="15"/>
      <c r="I8" s="15"/>
    </row>
    <row r="9" spans="1:24" ht="12.75" customHeight="1">
      <c r="A9" s="16" t="s">
        <v>31</v>
      </c>
      <c r="B9" s="17">
        <v>3401</v>
      </c>
      <c r="C9" s="12">
        <f t="shared" si="0"/>
        <v>340.1</v>
      </c>
      <c r="D9" s="18">
        <v>1641.76</v>
      </c>
      <c r="H9" s="15"/>
      <c r="I9" s="15"/>
    </row>
    <row r="10" spans="1:24" ht="12.75" customHeight="1">
      <c r="A10" s="16" t="s">
        <v>32</v>
      </c>
      <c r="B10" s="17">
        <v>3704.0000000000009</v>
      </c>
      <c r="C10" s="12">
        <f t="shared" si="0"/>
        <v>370.40000000000009</v>
      </c>
      <c r="D10" s="18">
        <v>2196.83</v>
      </c>
      <c r="F10" s="15"/>
      <c r="G10" s="15"/>
      <c r="H10" s="15"/>
      <c r="I10" s="15"/>
    </row>
    <row r="11" spans="1:24" ht="12.75" customHeight="1">
      <c r="A11" s="16" t="s">
        <v>33</v>
      </c>
      <c r="B11" s="17">
        <v>3465.9999999999995</v>
      </c>
      <c r="C11" s="12">
        <f t="shared" si="0"/>
        <v>346.59999999999997</v>
      </c>
      <c r="D11" s="18">
        <v>1675.81</v>
      </c>
      <c r="F11" s="15"/>
      <c r="G11" s="15"/>
      <c r="H11" s="15"/>
      <c r="I11" s="15"/>
    </row>
    <row r="12" spans="1:24" ht="12.75" customHeight="1">
      <c r="A12" s="16" t="s">
        <v>34</v>
      </c>
      <c r="B12" s="17">
        <v>6811.9999999999991</v>
      </c>
      <c r="C12" s="12">
        <f t="shared" si="0"/>
        <v>681.19999999999993</v>
      </c>
      <c r="D12" s="18">
        <v>3185.64</v>
      </c>
      <c r="F12" s="15"/>
      <c r="G12" s="15"/>
      <c r="H12" s="15"/>
      <c r="I12" s="15"/>
    </row>
    <row r="13" spans="1:24" ht="12.75" customHeight="1">
      <c r="A13" s="16" t="s">
        <v>35</v>
      </c>
      <c r="B13" s="17">
        <v>7640.9999999999991</v>
      </c>
      <c r="C13" s="12">
        <f t="shared" si="0"/>
        <v>764.09999999999991</v>
      </c>
      <c r="D13" s="18">
        <v>3609.7200000000003</v>
      </c>
      <c r="E13" s="20"/>
      <c r="F13" s="14"/>
      <c r="G13" s="15"/>
      <c r="H13" s="15"/>
      <c r="I13" s="15"/>
    </row>
    <row r="14" spans="1:24" ht="12.75" customHeight="1">
      <c r="A14" s="16" t="s">
        <v>36</v>
      </c>
      <c r="B14" s="17">
        <v>0</v>
      </c>
      <c r="C14" s="12">
        <f t="shared" si="0"/>
        <v>0</v>
      </c>
      <c r="D14" s="18">
        <v>0</v>
      </c>
      <c r="F14" s="15"/>
      <c r="G14" s="15"/>
      <c r="H14" s="15"/>
      <c r="I14" s="15"/>
    </row>
    <row r="15" spans="1:24" ht="12.75" customHeight="1">
      <c r="A15" s="16" t="s">
        <v>37</v>
      </c>
      <c r="B15" s="17">
        <v>0</v>
      </c>
      <c r="C15" s="12">
        <f t="shared" si="0"/>
        <v>0</v>
      </c>
      <c r="D15" s="18">
        <v>0</v>
      </c>
      <c r="F15" s="14"/>
      <c r="G15" s="15"/>
      <c r="H15" s="15"/>
      <c r="I15" s="15"/>
    </row>
    <row r="16" spans="1:24" ht="12.75" customHeight="1">
      <c r="A16" s="21" t="s">
        <v>38</v>
      </c>
      <c r="B16" s="22">
        <v>0</v>
      </c>
      <c r="C16" s="12">
        <v>0</v>
      </c>
      <c r="D16" s="23">
        <v>0</v>
      </c>
      <c r="F16" s="15"/>
      <c r="G16" s="15"/>
      <c r="H16" s="15"/>
      <c r="I16" s="15"/>
    </row>
    <row r="17" spans="1:24" ht="12.75" customHeight="1">
      <c r="A17" s="24" t="s">
        <v>18</v>
      </c>
      <c r="B17" s="25">
        <f t="shared" ref="B17:D17" si="1">SUM(B5:B16)</f>
        <v>46574</v>
      </c>
      <c r="C17" s="25">
        <f t="shared" si="1"/>
        <v>4657.3999999999996</v>
      </c>
      <c r="D17" s="26">
        <f t="shared" si="1"/>
        <v>22347.11</v>
      </c>
    </row>
    <row r="18" spans="1:24" ht="12.75" customHeight="1">
      <c r="A18" s="27"/>
      <c r="B18" s="28"/>
      <c r="C18" s="29"/>
      <c r="D18" s="30"/>
      <c r="F18" s="31"/>
      <c r="G18" s="32"/>
      <c r="H18" s="33"/>
      <c r="I18" s="34"/>
    </row>
    <row r="19" spans="1:24" ht="12.75" customHeight="1">
      <c r="A19" s="137" t="s">
        <v>19</v>
      </c>
      <c r="B19" s="136"/>
      <c r="C19" s="35">
        <f>D17/C17</f>
        <v>4.7981942714819432</v>
      </c>
      <c r="D19" s="36" t="s">
        <v>20</v>
      </c>
      <c r="F19" s="37"/>
      <c r="G19" s="32"/>
      <c r="H19" s="38"/>
      <c r="I19" s="3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customHeight="1"/>
    <row r="21" spans="1:24" ht="12.75" customHeight="1"/>
    <row r="22" spans="1:24" ht="12.75" customHeight="1"/>
    <row r="23" spans="1:24" ht="12.75" customHeight="1">
      <c r="A23" s="19"/>
      <c r="B23" s="15"/>
      <c r="C23" s="39"/>
      <c r="D23" s="15"/>
    </row>
    <row r="24" spans="1:24" ht="12.75" customHeight="1">
      <c r="A24" s="19"/>
      <c r="B24" s="15"/>
      <c r="C24" s="39"/>
      <c r="D24" s="15"/>
    </row>
    <row r="25" spans="1:24" ht="12.75" customHeight="1">
      <c r="A25" s="19"/>
      <c r="B25" s="15"/>
      <c r="C25" s="39"/>
      <c r="D25" s="15"/>
    </row>
    <row r="26" spans="1:24" ht="12.75" customHeight="1">
      <c r="A26" s="19"/>
      <c r="B26" s="15"/>
      <c r="C26" s="39"/>
      <c r="D26" s="15"/>
    </row>
    <row r="27" spans="1:24" ht="12.75" customHeight="1">
      <c r="A27" s="19"/>
      <c r="B27" s="15"/>
      <c r="C27" s="39"/>
      <c r="D27" s="15"/>
    </row>
    <row r="28" spans="1:24" ht="12.75" customHeight="1">
      <c r="A28" s="19"/>
      <c r="B28" s="15"/>
      <c r="C28" s="39"/>
      <c r="D28" s="15"/>
    </row>
    <row r="29" spans="1:24" ht="12.75" customHeight="1">
      <c r="A29" s="19"/>
      <c r="B29" s="15"/>
      <c r="C29" s="39"/>
      <c r="D29" s="15"/>
    </row>
    <row r="30" spans="1:24" ht="12.75" customHeight="1">
      <c r="A30" s="19"/>
      <c r="B30" s="15"/>
      <c r="C30" s="39"/>
      <c r="D30" s="15"/>
    </row>
    <row r="31" spans="1:24" ht="12.75" customHeight="1">
      <c r="A31" s="19"/>
      <c r="B31" s="15"/>
      <c r="C31" s="39"/>
      <c r="D31" s="15"/>
    </row>
    <row r="32" spans="1:24" ht="12.75" customHeight="1">
      <c r="A32" s="19"/>
      <c r="B32" s="15"/>
      <c r="C32" s="39"/>
      <c r="D32" s="15"/>
    </row>
    <row r="33" spans="1:4" ht="12.75" customHeight="1">
      <c r="A33" s="19"/>
      <c r="B33" s="15"/>
      <c r="C33" s="39"/>
      <c r="D33" s="15"/>
    </row>
    <row r="34" spans="1:4" ht="12.75" customHeight="1">
      <c r="A34" s="19"/>
      <c r="B34" s="15"/>
      <c r="C34" s="39"/>
      <c r="D34" s="15"/>
    </row>
    <row r="35" spans="1:4" ht="12.75" customHeight="1"/>
    <row r="36" spans="1:4" ht="12.75" customHeight="1"/>
    <row r="37" spans="1:4" ht="12.75" customHeight="1"/>
    <row r="38" spans="1:4" ht="12.75" customHeight="1"/>
    <row r="39" spans="1:4" ht="12.75" customHeight="1"/>
    <row r="40" spans="1:4" ht="12.75" customHeight="1"/>
    <row r="41" spans="1:4" ht="12.75" customHeight="1"/>
    <row r="42" spans="1:4" ht="12.75" customHeight="1"/>
    <row r="43" spans="1:4" ht="12.75" customHeight="1"/>
    <row r="44" spans="1:4" ht="12.75" customHeight="1"/>
    <row r="45" spans="1:4" ht="12.75" customHeight="1"/>
    <row r="46" spans="1:4" ht="12.75" customHeight="1"/>
    <row r="47" spans="1:4" ht="12.75" customHeight="1"/>
    <row r="48" spans="1: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2"/>
    <mergeCell ref="A19:B19"/>
  </mergeCells>
  <printOptions horizontalCentered="1"/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1002"/>
  <sheetViews>
    <sheetView workbookViewId="0">
      <selection activeCell="A33" sqref="A33"/>
    </sheetView>
  </sheetViews>
  <sheetFormatPr baseColWidth="10" defaultColWidth="12.6640625" defaultRowHeight="15" customHeight="1"/>
  <cols>
    <col min="2" max="2" width="12.6640625" customWidth="1"/>
  </cols>
  <sheetData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5" right="0.75" top="1" bottom="1" header="0" footer="0"/>
  <pageSetup orientation="portrait"/>
  <headerFooter>
    <oddFooter>&amp;LLehigh University IAC&amp;CLE0497&amp;RPage: 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1000"/>
  <sheetViews>
    <sheetView workbookViewId="0"/>
  </sheetViews>
  <sheetFormatPr baseColWidth="10" defaultColWidth="12.6640625" defaultRowHeight="15" customHeight="1"/>
  <cols>
    <col min="1" max="1" width="8.83203125" customWidth="1"/>
    <col min="2" max="2" width="13.83203125" customWidth="1"/>
    <col min="3" max="3" width="11.1640625" customWidth="1"/>
    <col min="4" max="6" width="8.83203125" customWidth="1"/>
    <col min="7" max="26" width="12.6640625" customWidth="1"/>
  </cols>
  <sheetData>
    <row r="1" spans="1:6" ht="12.75" customHeight="1"/>
    <row r="2" spans="1:6" ht="12.75" customHeight="1"/>
    <row r="3" spans="1:6" ht="12.75" customHeight="1"/>
    <row r="4" spans="1:6" ht="12.75" customHeight="1"/>
    <row r="5" spans="1:6" ht="12.75" customHeight="1">
      <c r="B5" s="42" t="s">
        <v>43</v>
      </c>
      <c r="C5" s="43">
        <f>'Raw Data'!D19</f>
        <v>1419135.41</v>
      </c>
    </row>
    <row r="6" spans="1:6" ht="12.75" customHeight="1">
      <c r="A6" s="42" t="s">
        <v>44</v>
      </c>
      <c r="B6" s="42">
        <f>427200+78000+58650</f>
        <v>563850</v>
      </c>
      <c r="C6" s="43">
        <f>'Raw Data'!F19</f>
        <v>141414.25</v>
      </c>
      <c r="F6" s="42">
        <f>40870+8672+6031</f>
        <v>55573</v>
      </c>
    </row>
    <row r="7" spans="1:6" ht="12.75" customHeight="1">
      <c r="A7" s="42" t="s">
        <v>45</v>
      </c>
      <c r="B7" s="42">
        <f>475200+91200+64050</f>
        <v>630450</v>
      </c>
      <c r="C7" s="44">
        <f>'N.Gas Value'!D17</f>
        <v>22347.11</v>
      </c>
      <c r="F7" s="42">
        <f>6461+945+44278</f>
        <v>51684</v>
      </c>
    </row>
    <row r="8" spans="1:6" ht="12.75" customHeight="1">
      <c r="A8" s="42" t="s">
        <v>46</v>
      </c>
      <c r="B8" s="42">
        <f>393600+73600+46500</f>
        <v>513700</v>
      </c>
      <c r="C8" s="43"/>
      <c r="F8" s="42">
        <f>5076+8503+38430</f>
        <v>52009</v>
      </c>
    </row>
    <row r="9" spans="1:6" ht="12.75" customHeight="1">
      <c r="A9" s="42" t="s">
        <v>47</v>
      </c>
      <c r="B9" s="42">
        <f>373200+81200+44400</f>
        <v>498800</v>
      </c>
      <c r="F9" s="42">
        <f>4644+8617+34364</f>
        <v>47625</v>
      </c>
    </row>
    <row r="10" spans="1:6" ht="12.75" customHeight="1">
      <c r="A10" s="42" t="s">
        <v>48</v>
      </c>
      <c r="B10" s="42">
        <f>380400+79200+38250</f>
        <v>497850</v>
      </c>
      <c r="C10" s="20">
        <f>'Total Energy'!D5</f>
        <v>182209.74345032181</v>
      </c>
      <c r="D10" s="42"/>
      <c r="F10" s="42">
        <f>4844+9778+41495</f>
        <v>56117</v>
      </c>
    </row>
    <row r="11" spans="1:6" ht="12.75" customHeight="1">
      <c r="A11" s="42" t="s">
        <v>49</v>
      </c>
      <c r="B11" s="42">
        <f>307200+62400+31350</f>
        <v>400950</v>
      </c>
      <c r="C11" s="20">
        <f>'Total Energy'!D7</f>
        <v>392326.57996</v>
      </c>
      <c r="D11" s="42"/>
      <c r="F11" s="42">
        <f>4361+8575+36175</f>
        <v>49111</v>
      </c>
    </row>
    <row r="12" spans="1:6" ht="12.75" customHeight="1">
      <c r="A12" s="45" t="s">
        <v>50</v>
      </c>
      <c r="B12" s="42">
        <f>366000+76000+45450</f>
        <v>487450</v>
      </c>
      <c r="C12" s="20"/>
      <c r="F12" s="42">
        <f>5643+9642+40925</f>
        <v>56210</v>
      </c>
    </row>
    <row r="13" spans="1:6" ht="12.75" customHeight="1">
      <c r="A13" s="42" t="s">
        <v>51</v>
      </c>
      <c r="B13" s="42">
        <f>334800+67600+43200</f>
        <v>445600</v>
      </c>
      <c r="F13" s="42">
        <f>5491+8846+38412</f>
        <v>52749</v>
      </c>
    </row>
    <row r="14" spans="1:6" ht="12.75" customHeight="1">
      <c r="A14" s="42" t="s">
        <v>52</v>
      </c>
      <c r="B14" s="42">
        <f>318000+62800+36600</f>
        <v>417400</v>
      </c>
      <c r="F14" s="42">
        <f>4836+8296+36411</f>
        <v>49543</v>
      </c>
    </row>
    <row r="15" spans="1:6" ht="12.75" customHeight="1">
      <c r="A15" s="42" t="s">
        <v>53</v>
      </c>
      <c r="B15" s="42">
        <f>271200+53600+31500</f>
        <v>356300</v>
      </c>
      <c r="F15" s="42">
        <f>4264+6917+31183</f>
        <v>42364</v>
      </c>
    </row>
    <row r="16" spans="1:6" ht="12.75" customHeight="1">
      <c r="A16" s="42" t="s">
        <v>54</v>
      </c>
      <c r="B16" s="42">
        <f>249600+50000+26700</f>
        <v>326300</v>
      </c>
      <c r="F16" s="42">
        <f>4899+6841+29985</f>
        <v>41725</v>
      </c>
    </row>
    <row r="17" spans="1:6" ht="12.75" customHeight="1">
      <c r="A17" s="42" t="s">
        <v>55</v>
      </c>
      <c r="B17" s="42">
        <f>343200+64800+34950</f>
        <v>442950</v>
      </c>
      <c r="F17" s="42">
        <f>4899+8225+37786</f>
        <v>50910</v>
      </c>
    </row>
    <row r="18" spans="1:6" ht="12.75" customHeight="1"/>
    <row r="19" spans="1:6" ht="12.75" customHeight="1"/>
    <row r="20" spans="1:6" ht="12.75" customHeight="1"/>
    <row r="21" spans="1:6" ht="12.75" customHeight="1"/>
    <row r="22" spans="1:6" ht="12.75" customHeight="1"/>
    <row r="23" spans="1:6" ht="12.75" customHeight="1"/>
    <row r="24" spans="1:6" ht="12.75" customHeight="1"/>
    <row r="25" spans="1:6" ht="12.75" customHeight="1"/>
    <row r="26" spans="1:6" ht="12.75" customHeight="1"/>
    <row r="27" spans="1:6" ht="12.75" customHeight="1"/>
    <row r="28" spans="1:6" ht="12.75" customHeight="1"/>
    <row r="29" spans="1:6" ht="12.75" customHeight="1"/>
    <row r="30" spans="1:6" ht="12.75" customHeight="1"/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/>
  <pageMargins left="0.75" right="0.75" top="1" bottom="1" header="0" footer="0"/>
  <pageSetup orientation="landscape"/>
  <headerFooter>
    <oddFooter>&amp;LLehigh University IAC&amp;CLE0312&amp;RPage: 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989"/>
  <sheetViews>
    <sheetView workbookViewId="0"/>
  </sheetViews>
  <sheetFormatPr baseColWidth="10" defaultColWidth="12.6640625" defaultRowHeight="15" customHeight="1"/>
  <cols>
    <col min="1" max="5" width="15.83203125" customWidth="1"/>
    <col min="6" max="20" width="8.83203125" customWidth="1"/>
  </cols>
  <sheetData>
    <row r="1" spans="1:20" ht="20" customHeight="1" thickBot="1">
      <c r="A1" s="90"/>
      <c r="B1" s="90"/>
      <c r="C1" s="90"/>
      <c r="D1" s="90"/>
      <c r="E1" s="90"/>
    </row>
    <row r="2" spans="1:20" ht="20" customHeight="1">
      <c r="A2" s="94"/>
      <c r="B2" s="138" t="s">
        <v>68</v>
      </c>
      <c r="C2" s="139"/>
      <c r="D2" s="139"/>
      <c r="E2" s="14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20" customHeight="1" thickBot="1">
      <c r="A3" s="42"/>
      <c r="B3" s="141"/>
      <c r="C3" s="142"/>
      <c r="D3" s="142"/>
      <c r="E3" s="14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20" customHeight="1" thickTop="1" thickBot="1">
      <c r="A4" s="42"/>
      <c r="B4" s="116" t="s">
        <v>40</v>
      </c>
      <c r="C4" s="117" t="s">
        <v>21</v>
      </c>
      <c r="D4" s="117" t="s">
        <v>41</v>
      </c>
      <c r="E4" s="118" t="s">
        <v>67</v>
      </c>
      <c r="F4" s="4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20" customHeight="1" thickTop="1">
      <c r="A5" s="42"/>
      <c r="B5" s="97" t="s">
        <v>0</v>
      </c>
      <c r="C5" s="57">
        <f>'Raw Data'!C19</f>
        <v>17622864.987868167</v>
      </c>
      <c r="D5" s="57">
        <f>'Raw Data'!I19</f>
        <v>182209.74345032181</v>
      </c>
      <c r="E5" s="58">
        <f>'Raw Data'!D19</f>
        <v>1419135.41</v>
      </c>
      <c r="F5" s="4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0" customHeight="1">
      <c r="A6" s="42"/>
      <c r="B6" s="103" t="s">
        <v>2</v>
      </c>
      <c r="C6" s="107" t="s">
        <v>42</v>
      </c>
      <c r="D6" s="107" t="s">
        <v>42</v>
      </c>
      <c r="E6" s="106">
        <f>'Raw Data'!F19</f>
        <v>141414.25</v>
      </c>
      <c r="F6" s="4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20" customHeight="1" thickBot="1">
      <c r="A7" s="42"/>
      <c r="B7" s="98" t="s">
        <v>69</v>
      </c>
      <c r="C7" s="109" t="s">
        <v>42</v>
      </c>
      <c r="D7" s="65">
        <f>'Raw Data'!M19</f>
        <v>392326.57996</v>
      </c>
      <c r="E7" s="66">
        <f>'Raw Data'!N19</f>
        <v>1158864.29</v>
      </c>
      <c r="F7" s="4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20" customHeight="1" thickTop="1" thickBot="1">
      <c r="A8" s="42"/>
      <c r="B8" s="67" t="s">
        <v>4</v>
      </c>
      <c r="C8" s="108" t="s">
        <v>42</v>
      </c>
      <c r="D8" s="72">
        <f t="shared" ref="D8:E8" si="0">SUM(D5:D7)</f>
        <v>574536.32341032184</v>
      </c>
      <c r="E8" s="73">
        <f t="shared" si="0"/>
        <v>2719413.95</v>
      </c>
      <c r="F8" s="4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/>
    <row r="211" spans="1:20" ht="15.75" customHeight="1"/>
    <row r="212" spans="1:20" ht="15.75" customHeight="1"/>
    <row r="213" spans="1:20" ht="15.75" customHeight="1"/>
    <row r="214" spans="1:20" ht="15.75" customHeight="1"/>
    <row r="215" spans="1:20" ht="15.75" customHeight="1"/>
    <row r="216" spans="1:20" ht="15.75" customHeight="1"/>
    <row r="217" spans="1:20" ht="15.75" customHeight="1"/>
    <row r="218" spans="1:20" ht="15.75" customHeight="1"/>
    <row r="219" spans="1:20" ht="15.75" customHeight="1"/>
    <row r="220" spans="1:20" ht="15.75" customHeight="1"/>
    <row r="221" spans="1:20" ht="15.75" customHeight="1"/>
    <row r="222" spans="1:20" ht="15.75" customHeight="1"/>
    <row r="223" spans="1:20" ht="15.75" customHeight="1"/>
    <row r="224" spans="1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B2:E3"/>
  </mergeCells>
  <printOptions horizontalCentered="1"/>
  <pageMargins left="0.75" right="0.75" top="1" bottom="1" header="0" footer="0"/>
  <pageSetup orientation="landscape"/>
  <headerFooter>
    <oddFooter>&amp;LLehigh University IAC&amp;CLE0497&amp;R&amp;P/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tabSelected="1" workbookViewId="0">
      <selection activeCell="F21" sqref="F21"/>
    </sheetView>
  </sheetViews>
  <sheetFormatPr baseColWidth="10" defaultColWidth="12.6640625" defaultRowHeight="15" customHeight="1"/>
  <cols>
    <col min="1" max="5" width="15.83203125" style="90" customWidth="1"/>
  </cols>
  <sheetData>
    <row r="1" spans="2:5" ht="20" customHeight="1" thickBot="1"/>
    <row r="2" spans="2:5" ht="20" customHeight="1">
      <c r="B2" s="138" t="s">
        <v>39</v>
      </c>
      <c r="C2" s="144"/>
      <c r="D2" s="144"/>
      <c r="E2" s="145"/>
    </row>
    <row r="3" spans="2:5" ht="20" customHeight="1" thickBot="1">
      <c r="B3" s="146"/>
      <c r="C3" s="147"/>
      <c r="D3" s="147"/>
      <c r="E3" s="148"/>
    </row>
    <row r="4" spans="2:5" ht="20" customHeight="1" thickTop="1">
      <c r="B4" s="112" t="s">
        <v>15</v>
      </c>
      <c r="C4" s="99" t="s">
        <v>0</v>
      </c>
      <c r="D4" s="99" t="s">
        <v>2</v>
      </c>
      <c r="E4" s="100" t="s">
        <v>69</v>
      </c>
    </row>
    <row r="5" spans="2:5" ht="20" customHeight="1" thickBot="1">
      <c r="B5" s="113" t="s">
        <v>16</v>
      </c>
      <c r="C5" s="114" t="s">
        <v>70</v>
      </c>
      <c r="D5" s="114" t="s">
        <v>67</v>
      </c>
      <c r="E5" s="115" t="s">
        <v>67</v>
      </c>
    </row>
    <row r="6" spans="2:5" ht="20" customHeight="1" thickTop="1">
      <c r="B6" s="91">
        <f>'Raw Data'!B7</f>
        <v>44927</v>
      </c>
      <c r="C6" s="57">
        <f>'Raw Data'!D7</f>
        <v>112187.25</v>
      </c>
      <c r="D6" s="57">
        <f>'Raw Data'!F7</f>
        <v>11246.72</v>
      </c>
      <c r="E6" s="58">
        <f>'Raw Data'!N7</f>
        <v>104545.84</v>
      </c>
    </row>
    <row r="7" spans="2:5" ht="20" customHeight="1">
      <c r="B7" s="91">
        <f>'Raw Data'!B8</f>
        <v>44958</v>
      </c>
      <c r="C7" s="57">
        <f>'Raw Data'!D8</f>
        <v>105810.33</v>
      </c>
      <c r="D7" s="57">
        <f>'Raw Data'!F8</f>
        <v>9182.59</v>
      </c>
      <c r="E7" s="58">
        <f>'Raw Data'!N8</f>
        <v>96610.76</v>
      </c>
    </row>
    <row r="8" spans="2:5" ht="20" customHeight="1">
      <c r="B8" s="91">
        <f>'Raw Data'!B9</f>
        <v>44986</v>
      </c>
      <c r="C8" s="57">
        <f>'Raw Data'!D9</f>
        <v>113295.70999999999</v>
      </c>
      <c r="D8" s="57">
        <f>'Raw Data'!F9</f>
        <v>10833.23</v>
      </c>
      <c r="E8" s="58">
        <f>'Raw Data'!N9</f>
        <v>89239.59</v>
      </c>
    </row>
    <row r="9" spans="2:5" ht="20" customHeight="1">
      <c r="B9" s="91">
        <f>'Raw Data'!B10</f>
        <v>45017</v>
      </c>
      <c r="C9" s="57">
        <f>'Raw Data'!D10</f>
        <v>190071.66</v>
      </c>
      <c r="D9" s="57">
        <f>'Raw Data'!F10</f>
        <v>10877.58</v>
      </c>
      <c r="E9" s="58">
        <f>'Raw Data'!N10</f>
        <v>99192.69</v>
      </c>
    </row>
    <row r="10" spans="2:5" ht="20" customHeight="1">
      <c r="B10" s="91">
        <f>'Raw Data'!B11</f>
        <v>45047</v>
      </c>
      <c r="C10" s="57">
        <f>'Raw Data'!D11</f>
        <v>107034.78</v>
      </c>
      <c r="D10" s="57">
        <f>'Raw Data'!F11</f>
        <v>11915.23</v>
      </c>
      <c r="E10" s="58">
        <f>'Raw Data'!N11</f>
        <v>95129.01</v>
      </c>
    </row>
    <row r="11" spans="2:5" ht="20" customHeight="1">
      <c r="B11" s="91">
        <f>'Raw Data'!B12</f>
        <v>45078</v>
      </c>
      <c r="C11" s="57">
        <f>'Raw Data'!D12</f>
        <v>109757.79000000001</v>
      </c>
      <c r="D11" s="57">
        <f>'Raw Data'!F12</f>
        <v>11415.33</v>
      </c>
      <c r="E11" s="58">
        <f>'Raw Data'!N12</f>
        <v>77783.38</v>
      </c>
    </row>
    <row r="12" spans="2:5" ht="20" customHeight="1">
      <c r="B12" s="91">
        <f>'Raw Data'!B13</f>
        <v>45108</v>
      </c>
      <c r="C12" s="57">
        <f>'Raw Data'!D13</f>
        <v>116930.2</v>
      </c>
      <c r="D12" s="57">
        <f>'Raw Data'!F13</f>
        <v>16318.08</v>
      </c>
      <c r="E12" s="58">
        <f>'Raw Data'!N13</f>
        <v>79413.899999999994</v>
      </c>
    </row>
    <row r="13" spans="2:5" ht="20" customHeight="1">
      <c r="B13" s="91">
        <f>'Raw Data'!B14</f>
        <v>45139</v>
      </c>
      <c r="C13" s="57">
        <f>'Raw Data'!D14</f>
        <v>116021.33</v>
      </c>
      <c r="D13" s="57">
        <f>'Raw Data'!F14</f>
        <v>16362.32</v>
      </c>
      <c r="E13" s="58">
        <f>'Raw Data'!N14</f>
        <v>86054.1</v>
      </c>
    </row>
    <row r="14" spans="2:5" ht="20" customHeight="1">
      <c r="B14" s="91">
        <f>'Raw Data'!B15</f>
        <v>45170</v>
      </c>
      <c r="C14" s="57">
        <f>'Raw Data'!D15</f>
        <v>105996.93</v>
      </c>
      <c r="D14" s="57">
        <f>'Raw Data'!F15</f>
        <v>11909.08</v>
      </c>
      <c r="E14" s="58">
        <f>'Raw Data'!N15</f>
        <v>79062.47</v>
      </c>
    </row>
    <row r="15" spans="2:5" ht="20" customHeight="1">
      <c r="B15" s="91">
        <f>'Raw Data'!B16</f>
        <v>45200</v>
      </c>
      <c r="C15" s="57">
        <f>'Raw Data'!D16</f>
        <v>112845.42</v>
      </c>
      <c r="D15" s="57">
        <f>'Raw Data'!F16</f>
        <v>10557.39</v>
      </c>
      <c r="E15" s="58">
        <f>'Raw Data'!N16</f>
        <v>105077.37</v>
      </c>
    </row>
    <row r="16" spans="2:5" ht="20" customHeight="1">
      <c r="B16" s="91">
        <f>'Raw Data'!B17</f>
        <v>45231</v>
      </c>
      <c r="C16" s="57">
        <f>'Raw Data'!D17</f>
        <v>112862.44</v>
      </c>
      <c r="D16" s="57">
        <f>'Raw Data'!F17</f>
        <v>9342.08</v>
      </c>
      <c r="E16" s="58">
        <f>'Raw Data'!N17</f>
        <v>118518.95</v>
      </c>
    </row>
    <row r="17" spans="2:5" ht="20" customHeight="1" thickBot="1">
      <c r="B17" s="92">
        <f>'Raw Data'!B18</f>
        <v>45261</v>
      </c>
      <c r="C17" s="65">
        <f>'Raw Data'!D18</f>
        <v>116321.57</v>
      </c>
      <c r="D17" s="65">
        <f>'Raw Data'!F18</f>
        <v>11454.62</v>
      </c>
      <c r="E17" s="66">
        <f>'Raw Data'!N18</f>
        <v>128236.23</v>
      </c>
    </row>
    <row r="18" spans="2:5" ht="20" customHeight="1" thickTop="1" thickBot="1">
      <c r="B18" s="46" t="s">
        <v>4</v>
      </c>
      <c r="C18" s="110">
        <f>'Raw Data'!D19</f>
        <v>1419135.41</v>
      </c>
      <c r="D18" s="110">
        <f>'Raw Data'!F19</f>
        <v>141414.25</v>
      </c>
      <c r="E18" s="111">
        <f>'Raw Data'!N19</f>
        <v>1158864.29</v>
      </c>
    </row>
    <row r="19" spans="2:5" ht="12.75" customHeight="1"/>
    <row r="20" spans="2:5" ht="12.75" customHeight="1"/>
    <row r="21" spans="2:5" ht="12.75" customHeight="1"/>
    <row r="22" spans="2:5" ht="12.75" customHeight="1"/>
    <row r="23" spans="2:5" ht="12.75" customHeight="1"/>
    <row r="24" spans="2:5" ht="12.75" customHeight="1"/>
    <row r="25" spans="2:5" ht="12.75" customHeight="1"/>
    <row r="26" spans="2:5" ht="12.75" customHeight="1"/>
    <row r="27" spans="2:5" ht="12.75" customHeight="1"/>
    <row r="28" spans="2:5" ht="12.75" customHeight="1"/>
    <row r="29" spans="2:5" ht="12.75" customHeight="1"/>
    <row r="30" spans="2:5" ht="12.75" customHeight="1"/>
    <row r="31" spans="2:5" ht="12.75" customHeight="1"/>
    <row r="32" spans="2:5" ht="12.75" customHeight="1"/>
    <row r="33" spans="8:8" ht="12.75" customHeight="1"/>
    <row r="34" spans="8:8" ht="12.75" customHeight="1"/>
    <row r="35" spans="8:8" ht="12.75" customHeight="1"/>
    <row r="36" spans="8:8" ht="12.75" customHeight="1"/>
    <row r="37" spans="8:8" ht="12.75" customHeight="1">
      <c r="H37" s="149"/>
    </row>
    <row r="38" spans="8:8" ht="12.75" customHeight="1"/>
    <row r="39" spans="8:8" ht="12.75" customHeight="1"/>
    <row r="40" spans="8:8" ht="12.75" customHeight="1"/>
    <row r="41" spans="8:8" ht="12.75" customHeight="1"/>
    <row r="42" spans="8:8" ht="12.75" customHeight="1"/>
    <row r="43" spans="8:8" ht="12.75" customHeight="1"/>
    <row r="44" spans="8:8" ht="12.75" customHeight="1"/>
    <row r="45" spans="8:8" ht="12.75" customHeight="1"/>
    <row r="46" spans="8:8" ht="12.75" customHeight="1"/>
    <row r="47" spans="8:8" ht="12.75" customHeight="1"/>
    <row r="48" spans="8: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3"/>
  </mergeCells>
  <pageMargins left="0.7" right="0.7" top="0.75" bottom="0.75" header="0" footer="0"/>
  <pageSetup orientation="landscape"/>
  <headerFooter>
    <oddFooter>&amp;LLehigh University IAC&amp;CLE0497&amp;RPage: 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8</vt:i4>
      </vt:variant>
    </vt:vector>
  </HeadingPairs>
  <TitlesOfParts>
    <vt:vector size="14" baseType="lpstr">
      <vt:lpstr>Raw Data</vt:lpstr>
      <vt:lpstr>N.Gas Value</vt:lpstr>
      <vt:lpstr>Monthly Charts</vt:lpstr>
      <vt:lpstr>Pie Chart values</vt:lpstr>
      <vt:lpstr>Total Energy</vt:lpstr>
      <vt:lpstr>Monthly Cost</vt:lpstr>
      <vt:lpstr>Electricty(KWH)</vt:lpstr>
      <vt:lpstr>Electricity Usage cost</vt:lpstr>
      <vt:lpstr>Demand</vt:lpstr>
      <vt:lpstr>Demand Cost</vt:lpstr>
      <vt:lpstr>Gas</vt:lpstr>
      <vt:lpstr>Gas $</vt:lpstr>
      <vt:lpstr>Energy Usage Pie Chart</vt:lpstr>
      <vt:lpstr>Energy Cost  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Guanyang Xue</cp:lastModifiedBy>
  <dcterms:modified xsi:type="dcterms:W3CDTF">2023-09-13T14:22:21Z</dcterms:modified>
</cp:coreProperties>
</file>